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65416" windowWidth="8325" windowHeight="11640" activeTab="0"/>
  </bookViews>
  <sheets>
    <sheet name="2012" sheetId="1" r:id="rId1"/>
    <sheet name="2013" sheetId="2" r:id="rId2"/>
    <sheet name="2014" sheetId="3" r:id="rId3"/>
    <sheet name="Лист1" sheetId="4" r:id="rId4"/>
    <sheet name="Лист2" sheetId="5" r:id="rId5"/>
  </sheets>
  <definedNames/>
  <calcPr fullCalcOnLoad="1"/>
</workbook>
</file>

<file path=xl/sharedStrings.xml><?xml version="1.0" encoding="utf-8"?>
<sst xmlns="http://schemas.openxmlformats.org/spreadsheetml/2006/main" count="390" uniqueCount="121">
  <si>
    <t>кв.м.</t>
  </si>
  <si>
    <t>чел.</t>
  </si>
  <si>
    <t>Год</t>
  </si>
  <si>
    <t>общая площадь МКД, всего</t>
  </si>
  <si>
    <t>Площадь жилых помещений</t>
  </si>
  <si>
    <t>Количество жителей, зарегистрированных в МКД</t>
  </si>
  <si>
    <t>комплексный ремонт</t>
  </si>
  <si>
    <t>Виды работ по капитальному ремонту МКД, предусмотренные п.3 ст.15 185-ФЗ</t>
  </si>
  <si>
    <t>В том числе планируется израсходовать на разработку проектной документации</t>
  </si>
  <si>
    <t>Стоимость капитального ремонта ВСЕГО в разбивке по источникам финансирования</t>
  </si>
  <si>
    <t>наименование улицы</t>
  </si>
  <si>
    <t>номер дома</t>
  </si>
  <si>
    <t>корпус, строение и т.п.</t>
  </si>
  <si>
    <t>ввода в эксплуатацию</t>
  </si>
  <si>
    <t>последнего комплексного капитального ремонта</t>
  </si>
  <si>
    <t>ремонт внутридом. инженерных систем</t>
  </si>
  <si>
    <t>ремонт крыши</t>
  </si>
  <si>
    <t>ремонт или замена лифтового оборудования</t>
  </si>
  <si>
    <t>ремонт подвальных помещений</t>
  </si>
  <si>
    <t>утепление и ремонт фасадов</t>
  </si>
  <si>
    <t>всего:</t>
  </si>
  <si>
    <t>в том числе жилых помещений, находящихся в собственности граждан</t>
  </si>
  <si>
    <t>Всего работ по инженерным системам (14+15+16+17+18+19)</t>
  </si>
  <si>
    <t>в том числе</t>
  </si>
  <si>
    <t>за счет средств Фонда</t>
  </si>
  <si>
    <t xml:space="preserve">за счет средств бюджета субъекта Российской Федерации </t>
  </si>
  <si>
    <t>предусмотренные в местном бюджете на долевое финансирование</t>
  </si>
  <si>
    <t>ТСЖ, других кооперативов либо  собствен-ников помещений в МКД</t>
  </si>
  <si>
    <t>установка приборов учета потребления ресурсов</t>
  </si>
  <si>
    <t>Ремонт сетей электроснабжения</t>
  </si>
  <si>
    <t>Ремонт сетей теплоснабжения</t>
  </si>
  <si>
    <t>Ремонт сетей газоснабжения</t>
  </si>
  <si>
    <t>Ремонт сетей водоснабжения</t>
  </si>
  <si>
    <t xml:space="preserve">Ремонт систем водоотведения </t>
  </si>
  <si>
    <t>ед.</t>
  </si>
  <si>
    <t>тыс.руб/кв.м.</t>
  </si>
  <si>
    <t>№ п/п</t>
  </si>
  <si>
    <t>Адрес многоквартирного дома</t>
  </si>
  <si>
    <t>населенный пункт</t>
  </si>
  <si>
    <t>Удельная стоимость капитального ремонта, тыс. руб./кв.м. общей площади помещений в МКД</t>
  </si>
  <si>
    <t>тыс. руб.</t>
  </si>
  <si>
    <t>А</t>
  </si>
  <si>
    <t>Б</t>
  </si>
  <si>
    <t>В</t>
  </si>
  <si>
    <t>А-1</t>
  </si>
  <si>
    <t>А-2</t>
  </si>
  <si>
    <t xml:space="preserve">ул.Октябрьская </t>
  </si>
  <si>
    <t xml:space="preserve">ул. 9 Мая </t>
  </si>
  <si>
    <t xml:space="preserve">ул. Ленина </t>
  </si>
  <si>
    <t>ул.Ленина</t>
  </si>
  <si>
    <t>ул.Карпенко</t>
  </si>
  <si>
    <t xml:space="preserve">ул.Крылова </t>
  </si>
  <si>
    <t xml:space="preserve">ул.Мира </t>
  </si>
  <si>
    <t xml:space="preserve">ул.Ленина </t>
  </si>
  <si>
    <t>ул.Электростальская</t>
  </si>
  <si>
    <t xml:space="preserve">ул.Электростальская </t>
  </si>
  <si>
    <t>ул.Карпенко (крыша-только водосточная система)</t>
  </si>
  <si>
    <t>площадь мест общего пользования</t>
  </si>
  <si>
    <t>Износ здания, %</t>
  </si>
  <si>
    <t>1981-82</t>
  </si>
  <si>
    <t>Мероприятия Программы</t>
  </si>
  <si>
    <t xml:space="preserve">№ </t>
  </si>
  <si>
    <t>п/п</t>
  </si>
  <si>
    <t>Наименование</t>
  </si>
  <si>
    <t>Источники финансирования</t>
  </si>
  <si>
    <t>Финансирование программы</t>
  </si>
  <si>
    <t>всего, из них:</t>
  </si>
  <si>
    <t xml:space="preserve">средства Фонда </t>
  </si>
  <si>
    <t xml:space="preserve">областной бюджет </t>
  </si>
  <si>
    <t>Подготовка технико-экономических обоснований и предоставление проектно-сметной документации на проекты по капитальному ремонту многоквартирных домов, реализуемых с использованием средств областного бюджета</t>
  </si>
  <si>
    <t>Мониторинг реализации программы</t>
  </si>
  <si>
    <t>Управление жилищно-коммунального хозяйства</t>
  </si>
  <si>
    <t>Реализация мероприятий по выполнению условий предоставления финансовой поддержки за счет средств Фонда.</t>
  </si>
  <si>
    <t>средства ТСЖ, и собственников помещений в многоквартирных домах</t>
  </si>
  <si>
    <t>Управление жилищно-коммунального хозяйства, ТСЖ,управляющие организации (по согласованию)</t>
  </si>
  <si>
    <t>Управление жилищно- коммунального хозяйства, Управление социальной защиты населения, Управление муниципальной собственности, отдел архитектуры и градостроительства Чебаркульского городского округа</t>
  </si>
  <si>
    <t>местный бюджет</t>
  </si>
  <si>
    <t>Финансовые затраты в действующих ценах тыс. рублей</t>
  </si>
  <si>
    <t>итого</t>
  </si>
  <si>
    <t>ПРИЛОЖЕНИЕ 2 (продолжение)</t>
  </si>
  <si>
    <t xml:space="preserve">Перечень многоквартирных домов, подлежащих капитальному ремонту в 2014 году </t>
  </si>
  <si>
    <t xml:space="preserve">ПРИЛОЖЕНИЕ 2 </t>
  </si>
  <si>
    <t xml:space="preserve">Перечень многоквартирных домов, подлежащих капитальному ремонту в 2012 году </t>
  </si>
  <si>
    <t xml:space="preserve">Перечень многоквартирных домов, подлежащих капитальному ремонту в 2013 году </t>
  </si>
  <si>
    <t xml:space="preserve">ул.Калинина </t>
  </si>
  <si>
    <t xml:space="preserve">ул.Крупская </t>
  </si>
  <si>
    <t xml:space="preserve">ул.8 Марта </t>
  </si>
  <si>
    <t xml:space="preserve">ул.Энгельса </t>
  </si>
  <si>
    <t xml:space="preserve">ул.Шоссейная </t>
  </si>
  <si>
    <t xml:space="preserve">ул.Елагина </t>
  </si>
  <si>
    <t xml:space="preserve">Планируемые показатели выполнения программы </t>
  </si>
  <si>
    <t>Общая площадь многоквартирных дома, всего</t>
  </si>
  <si>
    <t>Количество жителей, зарегистрированных в многоквартирном доме на дату утверждения программы</t>
  </si>
  <si>
    <t>Количество многоквартирнх домов</t>
  </si>
  <si>
    <t>Стоимость капитального ремонта</t>
  </si>
  <si>
    <t>всего</t>
  </si>
  <si>
    <t>кв. метров</t>
  </si>
  <si>
    <t>человек</t>
  </si>
  <si>
    <t>единиц</t>
  </si>
  <si>
    <t>рублей</t>
  </si>
  <si>
    <t>1.</t>
  </si>
  <si>
    <t>ПРИЛОЖЕНИЕ 3</t>
  </si>
  <si>
    <t>2012 год</t>
  </si>
  <si>
    <t>2013 год</t>
  </si>
  <si>
    <t>2014 год</t>
  </si>
  <si>
    <t>Финансирование программы 2011 год (мероприятия по выполнению условий предоставления финансовой поддержки за счет средств Фонда- формирование земельных участков под многоквартирными домами)</t>
  </si>
  <si>
    <t xml:space="preserve">Финансирование программы 2012 год </t>
  </si>
  <si>
    <t xml:space="preserve">Финансирование программы 2013 год </t>
  </si>
  <si>
    <t xml:space="preserve">Финансирование программы 2014 год </t>
  </si>
  <si>
    <t>ПРИЛОЖЕНИЕ 1</t>
  </si>
  <si>
    <t xml:space="preserve">Стоимость капитального ремонта ВСЕГО
</t>
  </si>
  <si>
    <r>
      <rPr>
        <sz val="11"/>
        <color indexed="8"/>
        <rFont val="Times New Roman"/>
        <family val="1"/>
      </rPr>
      <t>2011 год</t>
    </r>
    <r>
      <rPr>
        <sz val="10"/>
        <color indexed="8"/>
        <rFont val="Times New Roman"/>
        <family val="1"/>
      </rPr>
      <t xml:space="preserve"> ( стоимость мероприятий по выполнению условий предоставления финансовой поддержки за счет средств Фонда - формирование земельных участков под многоквартирными домами)</t>
    </r>
  </si>
  <si>
    <t xml:space="preserve">Исполнитель мероприятий программы             </t>
  </si>
  <si>
    <t>1.1.</t>
  </si>
  <si>
    <t>1.2.</t>
  </si>
  <si>
    <t>1.3.</t>
  </si>
  <si>
    <t>1.4.</t>
  </si>
  <si>
    <t>Администрация Чебаркульского городского округа</t>
  </si>
  <si>
    <t>Администрация Чебаркульского городского округа (Управление жилищно- коммунального хозяйства)</t>
  </si>
  <si>
    <t>к муниципальной  программе «Капитальный ремонт многоквартирных домов в Чебаркульском городском округе на 2011 -2014  годы»</t>
  </si>
  <si>
    <t>к муниципальной программе «Капитальный ремонт многоквартирных домов в Чебаркульском городском округе на 2011 -2014  годы»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</si>
</sst>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"/>
    <numFmt numFmtId="167" formatCode="0.000"/>
    <numFmt numFmtId="168" formatCode="0.00000"/>
    <numFmt numFmtId="169" formatCode="0.000000"/>
    <numFmt numFmtId="170" formatCode="0.0000000"/>
    <numFmt numFmtId="171" formatCode="0.00000000"/>
    <numFmt numFmtId="172" formatCode="0.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##\ ###\ ###\ ##0.00"/>
    <numFmt numFmtId="178" formatCode="###\ ###\ ###\ ##0"/>
    <numFmt numFmtId="179" formatCode="####\ ###\ ###\ ##0.00"/>
    <numFmt numFmtId="180" formatCode="###.0\ ###\ ###\ ##0"/>
    <numFmt numFmtId="181" formatCode="###.###\ ###\ ##0"/>
    <numFmt numFmtId="182" formatCode="###.##\ ###\ ##0"/>
    <numFmt numFmtId="183" formatCode="###.#\ ###\ ##0"/>
    <numFmt numFmtId="184" formatCode="###.###\ ##0"/>
    <numFmt numFmtId="185" formatCode="###.##\ ##0"/>
    <numFmt numFmtId="186" formatCode="###.#\ ##0"/>
    <numFmt numFmtId="187" formatCode="###.##0"/>
    <numFmt numFmtId="188" formatCode="###.##"/>
    <numFmt numFmtId="189" formatCode="###.#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justify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6" fillId="33" borderId="0" xfId="0" applyFont="1" applyFill="1" applyAlignment="1">
      <alignment vertical="center"/>
    </xf>
    <xf numFmtId="0" fontId="46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/>
    </xf>
    <xf numFmtId="0" fontId="4" fillId="33" borderId="0" xfId="52" applyFont="1" applyFill="1" applyBorder="1" applyAlignment="1">
      <alignment horizontal="left"/>
      <protection/>
    </xf>
    <xf numFmtId="0" fontId="4" fillId="33" borderId="10" xfId="52" applyFont="1" applyFill="1" applyBorder="1" applyAlignment="1">
      <alignment horizontal="center" vertical="center" textRotation="90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1" fontId="4" fillId="33" borderId="10" xfId="52" applyNumberFormat="1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right"/>
      <protection/>
    </xf>
    <xf numFmtId="0" fontId="4" fillId="33" borderId="10" xfId="52" applyFont="1" applyFill="1" applyBorder="1" applyAlignment="1">
      <alignment horizontal="left"/>
      <protection/>
    </xf>
    <xf numFmtId="0" fontId="4" fillId="33" borderId="10" xfId="0" applyFont="1" applyFill="1" applyBorder="1" applyAlignment="1">
      <alignment horizontal="left" vertical="center" wrapText="1"/>
    </xf>
    <xf numFmtId="2" fontId="4" fillId="33" borderId="10" xfId="52" applyNumberFormat="1" applyFont="1" applyFill="1" applyBorder="1" applyAlignment="1">
      <alignment horizontal="right" vertical="center"/>
      <protection/>
    </xf>
    <xf numFmtId="165" fontId="4" fillId="33" borderId="10" xfId="52" applyNumberFormat="1" applyFont="1" applyFill="1" applyBorder="1" applyAlignment="1">
      <alignment horizontal="right" vertical="center"/>
      <protection/>
    </xf>
    <xf numFmtId="167" fontId="4" fillId="33" borderId="10" xfId="52" applyNumberFormat="1" applyFont="1" applyFill="1" applyBorder="1" applyAlignment="1">
      <alignment horizontal="right" vertical="center"/>
      <protection/>
    </xf>
    <xf numFmtId="167" fontId="4" fillId="33" borderId="10" xfId="52" applyNumberFormat="1" applyFont="1" applyFill="1" applyBorder="1" applyAlignment="1">
      <alignment horizontal="right"/>
      <protection/>
    </xf>
    <xf numFmtId="2" fontId="4" fillId="33" borderId="10" xfId="52" applyNumberFormat="1" applyFont="1" applyFill="1" applyBorder="1" applyAlignment="1">
      <alignment horizontal="right"/>
      <protection/>
    </xf>
    <xf numFmtId="167" fontId="4" fillId="33" borderId="10" xfId="0" applyNumberFormat="1" applyFont="1" applyFill="1" applyBorder="1" applyAlignment="1">
      <alignment horizontal="right" vertical="center"/>
    </xf>
    <xf numFmtId="0" fontId="4" fillId="33" borderId="10" xfId="52" applyFont="1" applyFill="1" applyBorder="1" applyAlignment="1">
      <alignment horizontal="left" vertical="center" wrapText="1"/>
      <protection/>
    </xf>
    <xf numFmtId="0" fontId="4" fillId="33" borderId="10" xfId="52" applyFont="1" applyFill="1" applyBorder="1" applyAlignment="1">
      <alignment horizontal="right" vertical="center"/>
      <protection/>
    </xf>
    <xf numFmtId="168" fontId="4" fillId="33" borderId="10" xfId="52" applyNumberFormat="1" applyFont="1" applyFill="1" applyBorder="1" applyAlignment="1">
      <alignment horizontal="right" vertical="center"/>
      <protection/>
    </xf>
    <xf numFmtId="165" fontId="6" fillId="33" borderId="10" xfId="52" applyNumberFormat="1" applyFont="1" applyFill="1" applyBorder="1" applyAlignment="1">
      <alignment horizontal="right"/>
      <protection/>
    </xf>
    <xf numFmtId="0" fontId="6" fillId="33" borderId="0" xfId="52" applyFont="1" applyFill="1" applyBorder="1" applyAlignment="1">
      <alignment horizontal="left"/>
      <protection/>
    </xf>
    <xf numFmtId="0" fontId="4" fillId="33" borderId="0" xfId="52" applyFont="1" applyFill="1" applyAlignment="1">
      <alignment horizontal="center" vertical="center"/>
      <protection/>
    </xf>
    <xf numFmtId="0" fontId="47" fillId="33" borderId="0" xfId="0" applyFont="1" applyFill="1" applyAlignment="1">
      <alignment/>
    </xf>
    <xf numFmtId="0" fontId="4" fillId="33" borderId="10" xfId="52" applyFont="1" applyFill="1" applyBorder="1" applyAlignment="1">
      <alignment horizontal="right" vertical="center" wrapText="1"/>
      <protection/>
    </xf>
    <xf numFmtId="0" fontId="4" fillId="33" borderId="10" xfId="0" applyFont="1" applyFill="1" applyBorder="1" applyAlignment="1">
      <alignment horizontal="left" vertical="center"/>
    </xf>
    <xf numFmtId="0" fontId="4" fillId="33" borderId="0" xfId="52" applyFont="1" applyFill="1" applyBorder="1" applyAlignment="1">
      <alignment horizontal="right"/>
      <protection/>
    </xf>
    <xf numFmtId="167" fontId="4" fillId="33" borderId="0" xfId="52" applyNumberFormat="1" applyFont="1" applyFill="1" applyBorder="1" applyAlignment="1">
      <alignment horizontal="right"/>
      <protection/>
    </xf>
    <xf numFmtId="165" fontId="4" fillId="33" borderId="10" xfId="52" applyNumberFormat="1" applyFont="1" applyFill="1" applyBorder="1" applyAlignment="1">
      <alignment horizontal="right"/>
      <protection/>
    </xf>
    <xf numFmtId="167" fontId="4" fillId="33" borderId="10" xfId="0" applyNumberFormat="1" applyFont="1" applyFill="1" applyBorder="1" applyAlignment="1">
      <alignment horizontal="right"/>
    </xf>
    <xf numFmtId="1" fontId="6" fillId="33" borderId="10" xfId="52" applyNumberFormat="1" applyFont="1" applyFill="1" applyBorder="1" applyAlignment="1">
      <alignment horizontal="right"/>
      <protection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4" fillId="33" borderId="10" xfId="0" applyFont="1" applyFill="1" applyBorder="1" applyAlignment="1">
      <alignment horizontal="left"/>
    </xf>
    <xf numFmtId="2" fontId="4" fillId="33" borderId="11" xfId="52" applyNumberFormat="1" applyFont="1" applyFill="1" applyBorder="1" applyAlignment="1">
      <alignment horizontal="right"/>
      <protection/>
    </xf>
    <xf numFmtId="2" fontId="4" fillId="33" borderId="12" xfId="52" applyNumberFormat="1" applyFont="1" applyFill="1" applyBorder="1" applyAlignment="1">
      <alignment horizontal="right"/>
      <protection/>
    </xf>
    <xf numFmtId="0" fontId="3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189" fontId="3" fillId="34" borderId="10" xfId="0" applyNumberFormat="1" applyFont="1" applyFill="1" applyBorder="1" applyAlignment="1">
      <alignment horizontal="center" vertical="center"/>
    </xf>
    <xf numFmtId="178" fontId="3" fillId="34" borderId="10" xfId="0" applyNumberFormat="1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/>
    </xf>
    <xf numFmtId="179" fontId="3" fillId="34" borderId="10" xfId="0" applyNumberFormat="1" applyFont="1" applyFill="1" applyBorder="1" applyAlignment="1">
      <alignment horizontal="center" vertical="center"/>
    </xf>
    <xf numFmtId="0" fontId="45" fillId="34" borderId="0" xfId="0" applyFont="1" applyFill="1" applyAlignment="1">
      <alignment/>
    </xf>
    <xf numFmtId="0" fontId="45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/>
    </xf>
    <xf numFmtId="3" fontId="7" fillId="34" borderId="0" xfId="0" applyNumberFormat="1" applyFont="1" applyFill="1" applyAlignment="1">
      <alignment/>
    </xf>
    <xf numFmtId="1" fontId="7" fillId="34" borderId="0" xfId="0" applyNumberFormat="1" applyFont="1" applyFill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left" vertical="center" wrapText="1"/>
    </xf>
    <xf numFmtId="0" fontId="6" fillId="33" borderId="10" xfId="52" applyFont="1" applyFill="1" applyBorder="1" applyAlignment="1">
      <alignment horizontal="center"/>
      <protection/>
    </xf>
    <xf numFmtId="0" fontId="47" fillId="33" borderId="0" xfId="0" applyFont="1" applyFill="1" applyAlignment="1">
      <alignment horizontal="center"/>
    </xf>
    <xf numFmtId="0" fontId="4" fillId="33" borderId="10" xfId="52" applyFont="1" applyFill="1" applyBorder="1" applyAlignment="1">
      <alignment horizontal="center" vertical="center" textRotation="90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center" vertical="center" textRotation="90"/>
      <protection/>
    </xf>
    <xf numFmtId="0" fontId="4" fillId="33" borderId="11" xfId="52" applyFont="1" applyFill="1" applyBorder="1" applyAlignment="1">
      <alignment horizontal="center" vertical="center" textRotation="90" wrapText="1"/>
      <protection/>
    </xf>
    <xf numFmtId="0" fontId="4" fillId="33" borderId="13" xfId="52" applyFont="1" applyFill="1" applyBorder="1" applyAlignment="1">
      <alignment horizontal="center" vertical="center" textRotation="90" wrapText="1"/>
      <protection/>
    </xf>
    <xf numFmtId="0" fontId="4" fillId="33" borderId="12" xfId="52" applyFont="1" applyFill="1" applyBorder="1" applyAlignment="1">
      <alignment horizontal="center" vertical="center" textRotation="90" wrapText="1"/>
      <protection/>
    </xf>
    <xf numFmtId="0" fontId="4" fillId="33" borderId="10" xfId="52" applyFont="1" applyFill="1" applyBorder="1" applyAlignment="1">
      <alignment horizontal="center" vertical="center"/>
      <protection/>
    </xf>
    <xf numFmtId="167" fontId="4" fillId="33" borderId="11" xfId="52" applyNumberFormat="1" applyFont="1" applyFill="1" applyBorder="1" applyAlignment="1">
      <alignment horizontal="right" vertical="center"/>
      <protection/>
    </xf>
    <xf numFmtId="167" fontId="4" fillId="33" borderId="12" xfId="52" applyNumberFormat="1" applyFont="1" applyFill="1" applyBorder="1" applyAlignment="1">
      <alignment horizontal="right" vertical="center"/>
      <protection/>
    </xf>
    <xf numFmtId="0" fontId="4" fillId="33" borderId="11" xfId="52" applyFont="1" applyFill="1" applyBorder="1" applyAlignment="1">
      <alignment horizontal="center" vertical="center" textRotation="90"/>
      <protection/>
    </xf>
    <xf numFmtId="0" fontId="4" fillId="33" borderId="13" xfId="52" applyFont="1" applyFill="1" applyBorder="1" applyAlignment="1">
      <alignment horizontal="center" vertical="center" textRotation="90"/>
      <protection/>
    </xf>
    <xf numFmtId="0" fontId="4" fillId="33" borderId="12" xfId="52" applyFont="1" applyFill="1" applyBorder="1" applyAlignment="1">
      <alignment horizontal="center" vertical="center" textRotation="90"/>
      <protection/>
    </xf>
    <xf numFmtId="167" fontId="4" fillId="33" borderId="11" xfId="0" applyNumberFormat="1" applyFont="1" applyFill="1" applyBorder="1" applyAlignment="1">
      <alignment horizontal="right" vertical="center"/>
    </xf>
    <xf numFmtId="167" fontId="4" fillId="33" borderId="12" xfId="0" applyNumberFormat="1" applyFont="1" applyFill="1" applyBorder="1" applyAlignment="1">
      <alignment horizontal="right" vertical="center"/>
    </xf>
    <xf numFmtId="0" fontId="4" fillId="33" borderId="11" xfId="52" applyFont="1" applyFill="1" applyBorder="1" applyAlignment="1">
      <alignment horizontal="right" vertical="center"/>
      <protection/>
    </xf>
    <xf numFmtId="0" fontId="4" fillId="33" borderId="12" xfId="52" applyFont="1" applyFill="1" applyBorder="1" applyAlignment="1">
      <alignment horizontal="right" vertical="center"/>
      <protection/>
    </xf>
    <xf numFmtId="167" fontId="4" fillId="33" borderId="11" xfId="52" applyNumberFormat="1" applyFont="1" applyFill="1" applyBorder="1" applyAlignment="1">
      <alignment horizontal="center" vertical="center"/>
      <protection/>
    </xf>
    <xf numFmtId="167" fontId="4" fillId="33" borderId="12" xfId="52" applyNumberFormat="1" applyFont="1" applyFill="1" applyBorder="1" applyAlignment="1">
      <alignment horizontal="center" vertical="center"/>
      <protection/>
    </xf>
    <xf numFmtId="2" fontId="4" fillId="33" borderId="11" xfId="52" applyNumberFormat="1" applyFont="1" applyFill="1" applyBorder="1" applyAlignment="1">
      <alignment horizontal="right" vertical="center"/>
      <protection/>
    </xf>
    <xf numFmtId="2" fontId="4" fillId="33" borderId="12" xfId="52" applyNumberFormat="1" applyFont="1" applyFill="1" applyBorder="1" applyAlignment="1">
      <alignment horizontal="right" vertical="center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justify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50" fillId="0" borderId="0" xfId="0" applyFont="1" applyAlignment="1">
      <alignment horizontal="left" wrapText="1"/>
    </xf>
    <xf numFmtId="0" fontId="45" fillId="0" borderId="10" xfId="0" applyFont="1" applyBorder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justify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8" fillId="34" borderId="17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2"/>
  <sheetViews>
    <sheetView tabSelected="1" zoomScalePageLayoutView="0" workbookViewId="0" topLeftCell="F1">
      <selection activeCell="W2" sqref="W2"/>
    </sheetView>
  </sheetViews>
  <sheetFormatPr defaultColWidth="11.57421875" defaultRowHeight="15"/>
  <cols>
    <col min="1" max="1" width="2.7109375" style="12" customWidth="1"/>
    <col min="2" max="2" width="11.57421875" style="12" hidden="1" customWidth="1"/>
    <col min="3" max="3" width="11.57421875" style="12" customWidth="1"/>
    <col min="4" max="4" width="2.7109375" style="12" customWidth="1"/>
    <col min="5" max="5" width="2.140625" style="12" customWidth="1"/>
    <col min="6" max="6" width="6.7109375" style="12" customWidth="1"/>
    <col min="7" max="7" width="4.8515625" style="12" hidden="1" customWidth="1"/>
    <col min="8" max="8" width="11.57421875" style="12" hidden="1" customWidth="1"/>
    <col min="9" max="9" width="6.57421875" style="12" customWidth="1"/>
    <col min="10" max="10" width="7.00390625" style="12" hidden="1" customWidth="1"/>
    <col min="11" max="11" width="7.421875" style="12" hidden="1" customWidth="1"/>
    <col min="12" max="12" width="6.57421875" style="12" hidden="1" customWidth="1"/>
    <col min="13" max="13" width="5.7109375" style="12" customWidth="1"/>
    <col min="14" max="15" width="7.421875" style="12" customWidth="1"/>
    <col min="16" max="16" width="6.57421875" style="12" customWidth="1"/>
    <col min="17" max="17" width="3.140625" style="12" hidden="1" customWidth="1"/>
    <col min="18" max="18" width="6.57421875" style="12" customWidth="1"/>
    <col min="19" max="19" width="3.140625" style="12" hidden="1" customWidth="1"/>
    <col min="20" max="22" width="6.57421875" style="12" customWidth="1"/>
    <col min="23" max="23" width="7.421875" style="12" customWidth="1"/>
    <col min="24" max="27" width="3.140625" style="12" hidden="1" customWidth="1"/>
    <col min="28" max="28" width="6.57421875" style="12" customWidth="1"/>
    <col min="29" max="30" width="7.421875" style="12" customWidth="1"/>
    <col min="31" max="31" width="4.8515625" style="31" hidden="1" customWidth="1"/>
    <col min="32" max="32" width="7.421875" style="12" customWidth="1"/>
    <col min="33" max="33" width="6.57421875" style="12" customWidth="1"/>
    <col min="34" max="34" width="5.7109375" style="12" customWidth="1"/>
    <col min="35" max="35" width="6.57421875" style="12" customWidth="1"/>
    <col min="36" max="36" width="4.8515625" style="12" customWidth="1"/>
    <col min="37" max="16384" width="11.57421875" style="12" customWidth="1"/>
  </cols>
  <sheetData>
    <row r="1" s="9" customFormat="1" ht="11.25">
      <c r="AH1" s="10" t="s">
        <v>81</v>
      </c>
    </row>
    <row r="2" spans="30:36" s="9" customFormat="1" ht="43.5" customHeight="1">
      <c r="AD2" s="59" t="s">
        <v>120</v>
      </c>
      <c r="AE2" s="59"/>
      <c r="AF2" s="59"/>
      <c r="AG2" s="59"/>
      <c r="AH2" s="59"/>
      <c r="AI2" s="59"/>
      <c r="AJ2" s="59"/>
    </row>
    <row r="3" spans="3:23" s="11" customFormat="1" ht="11.25">
      <c r="C3" s="61" t="s">
        <v>82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="11" customFormat="1" ht="11.25"/>
    <row r="5" s="11" customFormat="1" ht="11.25"/>
    <row r="6" spans="1:36" ht="11.25" customHeight="1">
      <c r="A6" s="63" t="s">
        <v>36</v>
      </c>
      <c r="B6" s="63" t="s">
        <v>37</v>
      </c>
      <c r="C6" s="63"/>
      <c r="D6" s="63"/>
      <c r="E6" s="63"/>
      <c r="F6" s="68" t="s">
        <v>2</v>
      </c>
      <c r="G6" s="68"/>
      <c r="H6" s="68"/>
      <c r="I6" s="62" t="s">
        <v>3</v>
      </c>
      <c r="J6" s="63" t="s">
        <v>4</v>
      </c>
      <c r="K6" s="63"/>
      <c r="L6" s="65" t="s">
        <v>57</v>
      </c>
      <c r="M6" s="62" t="s">
        <v>5</v>
      </c>
      <c r="N6" s="62" t="s">
        <v>6</v>
      </c>
      <c r="O6" s="63" t="s">
        <v>7</v>
      </c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2" t="s">
        <v>110</v>
      </c>
      <c r="AE6" s="62" t="s">
        <v>8</v>
      </c>
      <c r="AF6" s="63" t="s">
        <v>9</v>
      </c>
      <c r="AG6" s="63"/>
      <c r="AH6" s="63"/>
      <c r="AI6" s="63"/>
      <c r="AJ6" s="62" t="s">
        <v>39</v>
      </c>
    </row>
    <row r="7" spans="1:36" ht="11.25">
      <c r="A7" s="63"/>
      <c r="B7" s="64" t="s">
        <v>38</v>
      </c>
      <c r="C7" s="64" t="s">
        <v>10</v>
      </c>
      <c r="D7" s="64" t="s">
        <v>11</v>
      </c>
      <c r="E7" s="64" t="s">
        <v>12</v>
      </c>
      <c r="F7" s="62" t="s">
        <v>13</v>
      </c>
      <c r="G7" s="65" t="s">
        <v>58</v>
      </c>
      <c r="H7" s="62" t="s">
        <v>14</v>
      </c>
      <c r="I7" s="62"/>
      <c r="J7" s="63"/>
      <c r="K7" s="63"/>
      <c r="L7" s="66"/>
      <c r="M7" s="62"/>
      <c r="N7" s="62"/>
      <c r="O7" s="63" t="s">
        <v>15</v>
      </c>
      <c r="P7" s="63"/>
      <c r="Q7" s="63"/>
      <c r="R7" s="63"/>
      <c r="S7" s="63"/>
      <c r="T7" s="63"/>
      <c r="U7" s="63"/>
      <c r="V7" s="62" t="s">
        <v>16</v>
      </c>
      <c r="W7" s="62"/>
      <c r="X7" s="62" t="s">
        <v>17</v>
      </c>
      <c r="Y7" s="62"/>
      <c r="Z7" s="62" t="s">
        <v>18</v>
      </c>
      <c r="AA7" s="62"/>
      <c r="AB7" s="62" t="s">
        <v>19</v>
      </c>
      <c r="AC7" s="62"/>
      <c r="AD7" s="62"/>
      <c r="AE7" s="62"/>
      <c r="AF7" s="63"/>
      <c r="AG7" s="63"/>
      <c r="AH7" s="63"/>
      <c r="AI7" s="63"/>
      <c r="AJ7" s="62"/>
    </row>
    <row r="8" spans="1:36" ht="11.25">
      <c r="A8" s="63"/>
      <c r="B8" s="64"/>
      <c r="C8" s="64"/>
      <c r="D8" s="64"/>
      <c r="E8" s="64"/>
      <c r="F8" s="62"/>
      <c r="G8" s="66"/>
      <c r="H8" s="62"/>
      <c r="I8" s="62"/>
      <c r="J8" s="62" t="s">
        <v>20</v>
      </c>
      <c r="K8" s="62" t="s">
        <v>21</v>
      </c>
      <c r="L8" s="66"/>
      <c r="M8" s="62"/>
      <c r="N8" s="62"/>
      <c r="O8" s="62" t="s">
        <v>22</v>
      </c>
      <c r="P8" s="63" t="s">
        <v>23</v>
      </c>
      <c r="Q8" s="63"/>
      <c r="R8" s="63"/>
      <c r="S8" s="63"/>
      <c r="T8" s="63"/>
      <c r="U8" s="63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 t="s">
        <v>24</v>
      </c>
      <c r="AG8" s="62" t="s">
        <v>25</v>
      </c>
      <c r="AH8" s="62" t="s">
        <v>26</v>
      </c>
      <c r="AI8" s="62" t="s">
        <v>27</v>
      </c>
      <c r="AJ8" s="62"/>
    </row>
    <row r="9" spans="1:36" ht="124.5">
      <c r="A9" s="63"/>
      <c r="B9" s="64"/>
      <c r="C9" s="64"/>
      <c r="D9" s="64"/>
      <c r="E9" s="64"/>
      <c r="F9" s="62"/>
      <c r="G9" s="66"/>
      <c r="H9" s="62"/>
      <c r="I9" s="62"/>
      <c r="J9" s="62"/>
      <c r="K9" s="62"/>
      <c r="L9" s="67"/>
      <c r="M9" s="62"/>
      <c r="N9" s="62"/>
      <c r="O9" s="62"/>
      <c r="P9" s="13" t="s">
        <v>28</v>
      </c>
      <c r="Q9" s="13" t="s">
        <v>29</v>
      </c>
      <c r="R9" s="13" t="s">
        <v>30</v>
      </c>
      <c r="S9" s="13" t="s">
        <v>31</v>
      </c>
      <c r="T9" s="13" t="s">
        <v>32</v>
      </c>
      <c r="U9" s="13" t="s">
        <v>33</v>
      </c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</row>
    <row r="10" spans="1:36" ht="45">
      <c r="A10" s="63"/>
      <c r="B10" s="64"/>
      <c r="C10" s="64"/>
      <c r="D10" s="64"/>
      <c r="E10" s="64"/>
      <c r="F10" s="62"/>
      <c r="G10" s="67"/>
      <c r="H10" s="62"/>
      <c r="I10" s="14" t="s">
        <v>0</v>
      </c>
      <c r="J10" s="14" t="s">
        <v>0</v>
      </c>
      <c r="K10" s="14" t="s">
        <v>0</v>
      </c>
      <c r="L10" s="14" t="s">
        <v>0</v>
      </c>
      <c r="M10" s="14" t="s">
        <v>1</v>
      </c>
      <c r="N10" s="14" t="s">
        <v>40</v>
      </c>
      <c r="O10" s="14" t="s">
        <v>40</v>
      </c>
      <c r="P10" s="14" t="s">
        <v>40</v>
      </c>
      <c r="Q10" s="14" t="s">
        <v>40</v>
      </c>
      <c r="R10" s="14" t="s">
        <v>40</v>
      </c>
      <c r="S10" s="14" t="s">
        <v>40</v>
      </c>
      <c r="T10" s="14" t="s">
        <v>40</v>
      </c>
      <c r="U10" s="14" t="s">
        <v>40</v>
      </c>
      <c r="V10" s="14" t="s">
        <v>0</v>
      </c>
      <c r="W10" s="14" t="s">
        <v>40</v>
      </c>
      <c r="X10" s="14" t="s">
        <v>34</v>
      </c>
      <c r="Y10" s="14" t="s">
        <v>40</v>
      </c>
      <c r="Z10" s="14" t="s">
        <v>0</v>
      </c>
      <c r="AA10" s="14" t="s">
        <v>40</v>
      </c>
      <c r="AB10" s="14" t="s">
        <v>0</v>
      </c>
      <c r="AC10" s="14" t="s">
        <v>40</v>
      </c>
      <c r="AD10" s="14" t="s">
        <v>40</v>
      </c>
      <c r="AE10" s="14" t="s">
        <v>40</v>
      </c>
      <c r="AF10" s="14" t="s">
        <v>40</v>
      </c>
      <c r="AG10" s="14" t="s">
        <v>40</v>
      </c>
      <c r="AH10" s="14" t="s">
        <v>40</v>
      </c>
      <c r="AI10" s="14" t="s">
        <v>40</v>
      </c>
      <c r="AJ10" s="14" t="s">
        <v>35</v>
      </c>
    </row>
    <row r="11" spans="1:36" ht="11.25">
      <c r="A11" s="14">
        <v>1</v>
      </c>
      <c r="B11" s="15">
        <v>2</v>
      </c>
      <c r="C11" s="16">
        <v>2</v>
      </c>
      <c r="D11" s="16">
        <v>3</v>
      </c>
      <c r="E11" s="16">
        <v>4</v>
      </c>
      <c r="F11" s="16">
        <v>5</v>
      </c>
      <c r="G11" s="16"/>
      <c r="H11" s="16">
        <v>7</v>
      </c>
      <c r="I11" s="16">
        <v>6</v>
      </c>
      <c r="J11" s="16">
        <v>7</v>
      </c>
      <c r="K11" s="16">
        <v>8</v>
      </c>
      <c r="L11" s="16">
        <v>9</v>
      </c>
      <c r="M11" s="16">
        <v>7</v>
      </c>
      <c r="N11" s="16">
        <v>8</v>
      </c>
      <c r="O11" s="16">
        <v>9</v>
      </c>
      <c r="P11" s="16">
        <v>10</v>
      </c>
      <c r="Q11" s="16">
        <v>15</v>
      </c>
      <c r="R11" s="16">
        <v>11</v>
      </c>
      <c r="S11" s="16">
        <v>17</v>
      </c>
      <c r="T11" s="16">
        <v>12</v>
      </c>
      <c r="U11" s="16">
        <v>13</v>
      </c>
      <c r="V11" s="16">
        <v>14</v>
      </c>
      <c r="W11" s="16">
        <v>15</v>
      </c>
      <c r="X11" s="16">
        <v>22</v>
      </c>
      <c r="Y11" s="16">
        <v>23</v>
      </c>
      <c r="Z11" s="16">
        <v>24</v>
      </c>
      <c r="AA11" s="16">
        <v>25</v>
      </c>
      <c r="AB11" s="16">
        <v>16</v>
      </c>
      <c r="AC11" s="16">
        <v>17</v>
      </c>
      <c r="AD11" s="16">
        <v>18</v>
      </c>
      <c r="AE11" s="16">
        <v>29</v>
      </c>
      <c r="AF11" s="16">
        <v>19</v>
      </c>
      <c r="AG11" s="16">
        <v>20</v>
      </c>
      <c r="AH11" s="16">
        <v>21</v>
      </c>
      <c r="AI11" s="16">
        <v>22</v>
      </c>
      <c r="AJ11" s="16">
        <v>23</v>
      </c>
    </row>
    <row r="12" spans="1:36" ht="10.5" customHeight="1">
      <c r="A12" s="17">
        <v>1</v>
      </c>
      <c r="B12" s="18"/>
      <c r="C12" s="19" t="s">
        <v>46</v>
      </c>
      <c r="D12" s="17">
        <v>3</v>
      </c>
      <c r="E12" s="17"/>
      <c r="F12" s="17">
        <v>1989</v>
      </c>
      <c r="G12" s="20">
        <f aca="true" t="shared" si="0" ref="G12:G21">(2011-F12)/47.6*100</f>
        <v>46.21848739495798</v>
      </c>
      <c r="H12" s="17"/>
      <c r="I12" s="21">
        <f aca="true" t="shared" si="1" ref="I12:I21">J12+L12</f>
        <v>4566.98</v>
      </c>
      <c r="J12" s="17">
        <v>4041.08</v>
      </c>
      <c r="K12" s="17">
        <v>3579.88</v>
      </c>
      <c r="L12" s="17">
        <v>525.9</v>
      </c>
      <c r="M12" s="17">
        <v>184</v>
      </c>
      <c r="N12" s="22">
        <f aca="true" t="shared" si="2" ref="N12:N21">AD12</f>
        <v>3593.341</v>
      </c>
      <c r="O12" s="22">
        <f aca="true" t="shared" si="3" ref="O12:O21">P12+R12+T12+U12</f>
        <v>858.641</v>
      </c>
      <c r="P12" s="22">
        <v>110.871</v>
      </c>
      <c r="Q12" s="17"/>
      <c r="R12" s="23">
        <v>510.17</v>
      </c>
      <c r="S12" s="17"/>
      <c r="T12" s="23">
        <v>140.2</v>
      </c>
      <c r="U12" s="23">
        <v>97.4</v>
      </c>
      <c r="V12" s="24">
        <v>712.2</v>
      </c>
      <c r="W12" s="23">
        <v>834.7</v>
      </c>
      <c r="X12" s="17"/>
      <c r="Y12" s="17"/>
      <c r="Z12" s="17"/>
      <c r="AA12" s="17"/>
      <c r="AB12" s="24">
        <v>2531</v>
      </c>
      <c r="AC12" s="23">
        <v>1900</v>
      </c>
      <c r="AD12" s="22">
        <f aca="true" t="shared" si="4" ref="AD12:AD21">O12+W12+AC12</f>
        <v>3593.341</v>
      </c>
      <c r="AE12" s="22">
        <v>8</v>
      </c>
      <c r="AF12" s="25">
        <f>ROUND(AD12*86.3%,3)</f>
        <v>3101.053</v>
      </c>
      <c r="AG12" s="25">
        <f>ROUND(AD12*7.19%,3)</f>
        <v>258.361</v>
      </c>
      <c r="AH12" s="25">
        <f>ROUND(AD12*1.5%,3)</f>
        <v>53.9</v>
      </c>
      <c r="AI12" s="25">
        <f>ROUND(AD12*5.01%,3)</f>
        <v>180.026</v>
      </c>
      <c r="AJ12" s="23">
        <f>AD12/J12</f>
        <v>0.8892031338157126</v>
      </c>
    </row>
    <row r="13" spans="1:36" ht="11.25">
      <c r="A13" s="17">
        <v>2</v>
      </c>
      <c r="B13" s="18"/>
      <c r="C13" s="19" t="s">
        <v>46</v>
      </c>
      <c r="D13" s="17">
        <v>3</v>
      </c>
      <c r="E13" s="17" t="s">
        <v>41</v>
      </c>
      <c r="F13" s="17">
        <v>1988</v>
      </c>
      <c r="G13" s="20">
        <f t="shared" si="0"/>
        <v>48.319327731092436</v>
      </c>
      <c r="H13" s="17"/>
      <c r="I13" s="21">
        <f t="shared" si="1"/>
        <v>5340</v>
      </c>
      <c r="J13" s="17">
        <v>4842.9</v>
      </c>
      <c r="K13" s="17">
        <v>4447.1</v>
      </c>
      <c r="L13" s="17">
        <v>497.1</v>
      </c>
      <c r="M13" s="17">
        <v>219</v>
      </c>
      <c r="N13" s="22">
        <f t="shared" si="2"/>
        <v>5510.871</v>
      </c>
      <c r="O13" s="22">
        <f t="shared" si="3"/>
        <v>1167.371</v>
      </c>
      <c r="P13" s="22">
        <v>110.871</v>
      </c>
      <c r="Q13" s="17"/>
      <c r="R13" s="23">
        <v>762</v>
      </c>
      <c r="S13" s="17"/>
      <c r="T13" s="23">
        <v>184.1</v>
      </c>
      <c r="U13" s="23">
        <v>110.4</v>
      </c>
      <c r="V13" s="24">
        <v>1274.3</v>
      </c>
      <c r="W13" s="23">
        <v>1493.5</v>
      </c>
      <c r="X13" s="17"/>
      <c r="Y13" s="17"/>
      <c r="Z13" s="17"/>
      <c r="AA13" s="17"/>
      <c r="AB13" s="24">
        <v>3793</v>
      </c>
      <c r="AC13" s="23">
        <v>2850</v>
      </c>
      <c r="AD13" s="22">
        <f t="shared" si="4"/>
        <v>5510.871</v>
      </c>
      <c r="AE13" s="22">
        <v>8</v>
      </c>
      <c r="AF13" s="25">
        <f aca="true" t="shared" si="5" ref="AF13:AF31">ROUND(AD13*86.3%,3)</f>
        <v>4755.882</v>
      </c>
      <c r="AG13" s="25">
        <f aca="true" t="shared" si="6" ref="AG13:AG31">ROUND(AD13*7.19%,3)</f>
        <v>396.232</v>
      </c>
      <c r="AH13" s="25">
        <f aca="true" t="shared" si="7" ref="AH13:AH31">ROUND(AD13*1.5%,3)</f>
        <v>82.663</v>
      </c>
      <c r="AI13" s="25">
        <f aca="true" t="shared" si="8" ref="AI13:AI31">ROUND(AD13*5.01%,3)</f>
        <v>276.095</v>
      </c>
      <c r="AJ13" s="23">
        <f aca="true" t="shared" si="9" ref="AJ13:AJ21">AD13/J13</f>
        <v>1.1379278944434121</v>
      </c>
    </row>
    <row r="14" spans="1:36" ht="11.25">
      <c r="A14" s="17">
        <v>3</v>
      </c>
      <c r="B14" s="18"/>
      <c r="C14" s="19" t="s">
        <v>84</v>
      </c>
      <c r="D14" s="17">
        <v>24</v>
      </c>
      <c r="E14" s="17"/>
      <c r="F14" s="17">
        <v>1987</v>
      </c>
      <c r="G14" s="20">
        <f t="shared" si="0"/>
        <v>50.42016806722689</v>
      </c>
      <c r="H14" s="17"/>
      <c r="I14" s="21">
        <f t="shared" si="1"/>
        <v>3600.5</v>
      </c>
      <c r="J14" s="17">
        <v>3272.2</v>
      </c>
      <c r="K14" s="17">
        <f>J14</f>
        <v>3272.2</v>
      </c>
      <c r="L14" s="17">
        <v>328.3</v>
      </c>
      <c r="M14" s="17">
        <v>112</v>
      </c>
      <c r="N14" s="22">
        <f t="shared" si="2"/>
        <v>3194.807</v>
      </c>
      <c r="O14" s="22">
        <f t="shared" si="3"/>
        <v>966.271</v>
      </c>
      <c r="P14" s="22">
        <v>110.871</v>
      </c>
      <c r="Q14" s="17"/>
      <c r="R14" s="23">
        <v>640</v>
      </c>
      <c r="S14" s="17"/>
      <c r="T14" s="23">
        <v>136.4</v>
      </c>
      <c r="U14" s="23">
        <v>79</v>
      </c>
      <c r="V14" s="24">
        <v>855.4</v>
      </c>
      <c r="W14" s="23">
        <v>1028.536</v>
      </c>
      <c r="X14" s="17"/>
      <c r="Y14" s="17"/>
      <c r="Z14" s="17"/>
      <c r="AA14" s="17"/>
      <c r="AB14" s="24">
        <v>2630</v>
      </c>
      <c r="AC14" s="23">
        <v>1200</v>
      </c>
      <c r="AD14" s="22">
        <f t="shared" si="4"/>
        <v>3194.807</v>
      </c>
      <c r="AE14" s="22">
        <v>8</v>
      </c>
      <c r="AF14" s="25">
        <f t="shared" si="5"/>
        <v>2757.118</v>
      </c>
      <c r="AG14" s="25">
        <f t="shared" si="6"/>
        <v>229.707</v>
      </c>
      <c r="AH14" s="25">
        <f t="shared" si="7"/>
        <v>47.922</v>
      </c>
      <c r="AI14" s="25">
        <f t="shared" si="8"/>
        <v>160.06</v>
      </c>
      <c r="AJ14" s="23">
        <f t="shared" si="9"/>
        <v>0.9763483283417884</v>
      </c>
    </row>
    <row r="15" spans="1:36" ht="11.25">
      <c r="A15" s="17">
        <v>4</v>
      </c>
      <c r="B15" s="18"/>
      <c r="C15" s="19" t="s">
        <v>51</v>
      </c>
      <c r="D15" s="17">
        <v>20</v>
      </c>
      <c r="E15" s="17" t="s">
        <v>41</v>
      </c>
      <c r="F15" s="17">
        <v>1985</v>
      </c>
      <c r="G15" s="20">
        <f t="shared" si="0"/>
        <v>54.621848739495796</v>
      </c>
      <c r="H15" s="17"/>
      <c r="I15" s="21">
        <f t="shared" si="1"/>
        <v>3522.6</v>
      </c>
      <c r="J15" s="24">
        <v>3196.1</v>
      </c>
      <c r="K15" s="24">
        <f>J15-86.5</f>
        <v>3109.6</v>
      </c>
      <c r="L15" s="24">
        <v>326.5</v>
      </c>
      <c r="M15" s="17">
        <v>137</v>
      </c>
      <c r="N15" s="22">
        <f t="shared" si="2"/>
        <v>2877.671</v>
      </c>
      <c r="O15" s="22">
        <f t="shared" si="3"/>
        <v>807.371</v>
      </c>
      <c r="P15" s="22">
        <v>110.871</v>
      </c>
      <c r="Q15" s="17"/>
      <c r="R15" s="23">
        <v>490.6</v>
      </c>
      <c r="S15" s="17"/>
      <c r="T15" s="23">
        <v>129.5</v>
      </c>
      <c r="U15" s="23">
        <v>76.4</v>
      </c>
      <c r="V15" s="24">
        <v>827.8</v>
      </c>
      <c r="W15" s="23">
        <v>970.3</v>
      </c>
      <c r="X15" s="17"/>
      <c r="Y15" s="17"/>
      <c r="Z15" s="17"/>
      <c r="AA15" s="17"/>
      <c r="AB15" s="24">
        <v>2511</v>
      </c>
      <c r="AC15" s="23">
        <v>1100</v>
      </c>
      <c r="AD15" s="22">
        <f t="shared" si="4"/>
        <v>2877.671</v>
      </c>
      <c r="AE15" s="22">
        <v>8</v>
      </c>
      <c r="AF15" s="25">
        <f t="shared" si="5"/>
        <v>2483.43</v>
      </c>
      <c r="AG15" s="25">
        <f t="shared" si="6"/>
        <v>206.905</v>
      </c>
      <c r="AH15" s="25">
        <f t="shared" si="7"/>
        <v>43.165</v>
      </c>
      <c r="AI15" s="25">
        <f t="shared" si="8"/>
        <v>144.171</v>
      </c>
      <c r="AJ15" s="23">
        <f t="shared" si="9"/>
        <v>0.9003695128437783</v>
      </c>
    </row>
    <row r="16" spans="1:36" ht="11.25">
      <c r="A16" s="17">
        <v>5</v>
      </c>
      <c r="B16" s="18"/>
      <c r="C16" s="19" t="s">
        <v>50</v>
      </c>
      <c r="D16" s="17">
        <v>11</v>
      </c>
      <c r="E16" s="17" t="s">
        <v>41</v>
      </c>
      <c r="F16" s="17">
        <v>1971</v>
      </c>
      <c r="G16" s="20">
        <f t="shared" si="0"/>
        <v>84.03361344537815</v>
      </c>
      <c r="H16" s="17"/>
      <c r="I16" s="21">
        <f t="shared" si="1"/>
        <v>3504.4</v>
      </c>
      <c r="J16" s="24">
        <v>3235.1</v>
      </c>
      <c r="K16" s="24">
        <f>J16-80.7</f>
        <v>3154.4</v>
      </c>
      <c r="L16" s="24">
        <v>269.3</v>
      </c>
      <c r="M16" s="17">
        <v>142</v>
      </c>
      <c r="N16" s="22">
        <f t="shared" si="2"/>
        <v>2436.031</v>
      </c>
      <c r="O16" s="22">
        <f t="shared" si="3"/>
        <v>794.591</v>
      </c>
      <c r="P16" s="22">
        <v>110.871</v>
      </c>
      <c r="Q16" s="17"/>
      <c r="R16" s="23">
        <v>450.7</v>
      </c>
      <c r="S16" s="17"/>
      <c r="T16" s="23">
        <v>139.4</v>
      </c>
      <c r="U16" s="23">
        <v>93.62</v>
      </c>
      <c r="V16" s="24">
        <v>920.2</v>
      </c>
      <c r="W16" s="23">
        <v>1021.44</v>
      </c>
      <c r="X16" s="17"/>
      <c r="Y16" s="17"/>
      <c r="Z16" s="17"/>
      <c r="AA16" s="17"/>
      <c r="AB16" s="24">
        <v>2552</v>
      </c>
      <c r="AC16" s="23">
        <v>620</v>
      </c>
      <c r="AD16" s="22">
        <f t="shared" si="4"/>
        <v>2436.031</v>
      </c>
      <c r="AE16" s="22">
        <v>8</v>
      </c>
      <c r="AF16" s="25">
        <f t="shared" si="5"/>
        <v>2102.295</v>
      </c>
      <c r="AG16" s="25">
        <f t="shared" si="6"/>
        <v>175.151</v>
      </c>
      <c r="AH16" s="25">
        <f t="shared" si="7"/>
        <v>36.54</v>
      </c>
      <c r="AI16" s="25">
        <f t="shared" si="8"/>
        <v>122.045</v>
      </c>
      <c r="AJ16" s="23">
        <f t="shared" si="9"/>
        <v>0.753000216376619</v>
      </c>
    </row>
    <row r="17" spans="1:36" ht="11.25">
      <c r="A17" s="17">
        <v>6</v>
      </c>
      <c r="B17" s="18"/>
      <c r="C17" s="19" t="s">
        <v>50</v>
      </c>
      <c r="D17" s="17">
        <v>15</v>
      </c>
      <c r="E17" s="17"/>
      <c r="F17" s="17" t="s">
        <v>59</v>
      </c>
      <c r="G17" s="20">
        <v>80</v>
      </c>
      <c r="H17" s="17"/>
      <c r="I17" s="21">
        <f t="shared" si="1"/>
        <v>5307.049999999999</v>
      </c>
      <c r="J17" s="24">
        <v>4836.15</v>
      </c>
      <c r="K17" s="24">
        <f>J17-283.4</f>
        <v>4552.75</v>
      </c>
      <c r="L17" s="24">
        <v>470.9</v>
      </c>
      <c r="M17" s="17">
        <v>196</v>
      </c>
      <c r="N17" s="22">
        <f t="shared" si="2"/>
        <v>4303.861</v>
      </c>
      <c r="O17" s="22">
        <f t="shared" si="3"/>
        <v>1106.5810000000001</v>
      </c>
      <c r="P17" s="22">
        <v>110.871</v>
      </c>
      <c r="Q17" s="17"/>
      <c r="R17" s="23">
        <v>760.19</v>
      </c>
      <c r="S17" s="17"/>
      <c r="T17" s="23">
        <v>174.6</v>
      </c>
      <c r="U17" s="23">
        <v>60.92</v>
      </c>
      <c r="V17" s="24">
        <v>1278</v>
      </c>
      <c r="W17" s="23">
        <v>1497.28</v>
      </c>
      <c r="X17" s="17"/>
      <c r="Y17" s="17"/>
      <c r="Z17" s="17"/>
      <c r="AA17" s="17"/>
      <c r="AB17" s="24">
        <v>2000</v>
      </c>
      <c r="AC17" s="23">
        <v>1700</v>
      </c>
      <c r="AD17" s="22">
        <f t="shared" si="4"/>
        <v>4303.861</v>
      </c>
      <c r="AE17" s="22">
        <v>8</v>
      </c>
      <c r="AF17" s="25">
        <f t="shared" si="5"/>
        <v>3714.232</v>
      </c>
      <c r="AG17" s="25">
        <f t="shared" si="6"/>
        <v>309.448</v>
      </c>
      <c r="AH17" s="25">
        <f t="shared" si="7"/>
        <v>64.558</v>
      </c>
      <c r="AI17" s="25">
        <f t="shared" si="8"/>
        <v>215.623</v>
      </c>
      <c r="AJ17" s="23">
        <f t="shared" si="9"/>
        <v>0.8899353824840007</v>
      </c>
    </row>
    <row r="18" spans="1:36" ht="11.25">
      <c r="A18" s="17">
        <v>7</v>
      </c>
      <c r="B18" s="18"/>
      <c r="C18" s="19" t="s">
        <v>50</v>
      </c>
      <c r="D18" s="17">
        <v>17</v>
      </c>
      <c r="E18" s="17"/>
      <c r="F18" s="17">
        <v>1971</v>
      </c>
      <c r="G18" s="20">
        <f t="shared" si="0"/>
        <v>84.03361344537815</v>
      </c>
      <c r="H18" s="17"/>
      <c r="I18" s="21">
        <f t="shared" si="1"/>
        <v>4945.2</v>
      </c>
      <c r="J18" s="24">
        <v>4474.2</v>
      </c>
      <c r="K18" s="24">
        <f>J18-235.49</f>
        <v>4238.71</v>
      </c>
      <c r="L18" s="24">
        <v>471</v>
      </c>
      <c r="M18" s="17">
        <v>223</v>
      </c>
      <c r="N18" s="22">
        <f t="shared" si="2"/>
        <v>4247.9310000000005</v>
      </c>
      <c r="O18" s="22">
        <f t="shared" si="3"/>
        <v>1218.731</v>
      </c>
      <c r="P18" s="22">
        <v>110.871</v>
      </c>
      <c r="Q18" s="17"/>
      <c r="R18" s="23">
        <v>820.1</v>
      </c>
      <c r="S18" s="17"/>
      <c r="T18" s="23">
        <v>190.56</v>
      </c>
      <c r="U18" s="23">
        <v>97.2</v>
      </c>
      <c r="V18" s="24">
        <v>1197.4</v>
      </c>
      <c r="W18" s="23">
        <v>1329.2</v>
      </c>
      <c r="X18" s="17"/>
      <c r="Y18" s="17"/>
      <c r="Z18" s="17"/>
      <c r="AA18" s="17"/>
      <c r="AB18" s="24">
        <v>2000</v>
      </c>
      <c r="AC18" s="23">
        <v>1700</v>
      </c>
      <c r="AD18" s="22">
        <f t="shared" si="4"/>
        <v>4247.9310000000005</v>
      </c>
      <c r="AE18" s="22">
        <v>8</v>
      </c>
      <c r="AF18" s="25">
        <f t="shared" si="5"/>
        <v>3665.964</v>
      </c>
      <c r="AG18" s="25">
        <f t="shared" si="6"/>
        <v>305.426</v>
      </c>
      <c r="AH18" s="25">
        <f t="shared" si="7"/>
        <v>63.719</v>
      </c>
      <c r="AI18" s="25">
        <f t="shared" si="8"/>
        <v>212.821</v>
      </c>
      <c r="AJ18" s="23">
        <f t="shared" si="9"/>
        <v>0.9494280541772833</v>
      </c>
    </row>
    <row r="19" spans="1:36" ht="11.25">
      <c r="A19" s="17">
        <v>8</v>
      </c>
      <c r="B19" s="18"/>
      <c r="C19" s="19" t="s">
        <v>50</v>
      </c>
      <c r="D19" s="17">
        <v>17</v>
      </c>
      <c r="E19" s="17" t="s">
        <v>41</v>
      </c>
      <c r="F19" s="17">
        <v>1974</v>
      </c>
      <c r="G19" s="20">
        <f t="shared" si="0"/>
        <v>77.73109243697479</v>
      </c>
      <c r="H19" s="17"/>
      <c r="I19" s="21">
        <f t="shared" si="1"/>
        <v>3091.8999999999996</v>
      </c>
      <c r="J19" s="24">
        <v>2778.2</v>
      </c>
      <c r="K19" s="24">
        <f>J19-315.3</f>
        <v>2462.8999999999996</v>
      </c>
      <c r="L19" s="24">
        <v>313.7</v>
      </c>
      <c r="M19" s="17">
        <v>116</v>
      </c>
      <c r="N19" s="22">
        <f t="shared" si="2"/>
        <v>3068.371</v>
      </c>
      <c r="O19" s="22">
        <f t="shared" si="3"/>
        <v>1056.271</v>
      </c>
      <c r="P19" s="22">
        <v>110.871</v>
      </c>
      <c r="Q19" s="17"/>
      <c r="R19" s="23">
        <v>680</v>
      </c>
      <c r="S19" s="17"/>
      <c r="T19" s="23">
        <v>156.4</v>
      </c>
      <c r="U19" s="23">
        <v>109</v>
      </c>
      <c r="V19" s="24">
        <v>729.7</v>
      </c>
      <c r="W19" s="23">
        <v>812.1</v>
      </c>
      <c r="X19" s="17"/>
      <c r="Y19" s="17"/>
      <c r="Z19" s="17"/>
      <c r="AA19" s="17"/>
      <c r="AB19" s="24">
        <v>2630</v>
      </c>
      <c r="AC19" s="23">
        <v>1200</v>
      </c>
      <c r="AD19" s="22">
        <f t="shared" si="4"/>
        <v>3068.371</v>
      </c>
      <c r="AE19" s="22">
        <v>8</v>
      </c>
      <c r="AF19" s="25">
        <f t="shared" si="5"/>
        <v>2648.004</v>
      </c>
      <c r="AG19" s="25">
        <f t="shared" si="6"/>
        <v>220.616</v>
      </c>
      <c r="AH19" s="25">
        <f t="shared" si="7"/>
        <v>46.026</v>
      </c>
      <c r="AI19" s="25">
        <f t="shared" si="8"/>
        <v>153.725</v>
      </c>
      <c r="AJ19" s="23">
        <f t="shared" si="9"/>
        <v>1.104445684255993</v>
      </c>
    </row>
    <row r="20" spans="1:36" ht="11.25">
      <c r="A20" s="17">
        <v>9</v>
      </c>
      <c r="B20" s="18"/>
      <c r="C20" s="19" t="s">
        <v>50</v>
      </c>
      <c r="D20" s="17">
        <v>17</v>
      </c>
      <c r="E20" s="17" t="s">
        <v>42</v>
      </c>
      <c r="F20" s="17">
        <v>1975</v>
      </c>
      <c r="G20" s="20">
        <f t="shared" si="0"/>
        <v>75.63025210084034</v>
      </c>
      <c r="H20" s="17"/>
      <c r="I20" s="21">
        <f t="shared" si="1"/>
        <v>3081.2599999999998</v>
      </c>
      <c r="J20" s="24">
        <v>2767.16</v>
      </c>
      <c r="K20" s="24">
        <f>J20-49.46</f>
        <v>2717.7</v>
      </c>
      <c r="L20" s="24">
        <v>314.1</v>
      </c>
      <c r="M20" s="17">
        <v>119</v>
      </c>
      <c r="N20" s="22">
        <f t="shared" si="2"/>
        <v>2953.9049999999997</v>
      </c>
      <c r="O20" s="22">
        <f t="shared" si="3"/>
        <v>914.0049999999999</v>
      </c>
      <c r="P20" s="22">
        <v>110.871</v>
      </c>
      <c r="Q20" s="17"/>
      <c r="R20" s="23">
        <v>592.034</v>
      </c>
      <c r="S20" s="17"/>
      <c r="T20" s="23">
        <v>146.8</v>
      </c>
      <c r="U20" s="23">
        <v>64.3</v>
      </c>
      <c r="V20" s="24">
        <v>729.7</v>
      </c>
      <c r="W20" s="23">
        <v>809.9</v>
      </c>
      <c r="X20" s="17"/>
      <c r="Y20" s="17"/>
      <c r="Z20" s="17"/>
      <c r="AA20" s="17"/>
      <c r="AB20" s="24">
        <v>2340</v>
      </c>
      <c r="AC20" s="23">
        <v>1230</v>
      </c>
      <c r="AD20" s="22">
        <f t="shared" si="4"/>
        <v>2953.9049999999997</v>
      </c>
      <c r="AE20" s="22">
        <v>8</v>
      </c>
      <c r="AF20" s="25">
        <f t="shared" si="5"/>
        <v>2549.22</v>
      </c>
      <c r="AG20" s="25">
        <f t="shared" si="6"/>
        <v>212.386</v>
      </c>
      <c r="AH20" s="25">
        <f t="shared" si="7"/>
        <v>44.309</v>
      </c>
      <c r="AI20" s="25">
        <f t="shared" si="8"/>
        <v>147.991</v>
      </c>
      <c r="AJ20" s="23">
        <f t="shared" si="9"/>
        <v>1.0674861590945228</v>
      </c>
    </row>
    <row r="21" spans="1:36" ht="11.25">
      <c r="A21" s="17">
        <v>10</v>
      </c>
      <c r="B21" s="18"/>
      <c r="C21" s="19" t="s">
        <v>50</v>
      </c>
      <c r="D21" s="17">
        <v>17</v>
      </c>
      <c r="E21" s="17" t="s">
        <v>43</v>
      </c>
      <c r="F21" s="17">
        <v>1976</v>
      </c>
      <c r="G21" s="20">
        <f t="shared" si="0"/>
        <v>73.52941176470587</v>
      </c>
      <c r="H21" s="17"/>
      <c r="I21" s="21">
        <f t="shared" si="1"/>
        <v>3626.9</v>
      </c>
      <c r="J21" s="24">
        <v>3353.5</v>
      </c>
      <c r="K21" s="24">
        <f>J21-44</f>
        <v>3309.5</v>
      </c>
      <c r="L21" s="24">
        <v>273.4</v>
      </c>
      <c r="M21" s="17">
        <v>146</v>
      </c>
      <c r="N21" s="22">
        <f t="shared" si="2"/>
        <v>3263.1009999999997</v>
      </c>
      <c r="O21" s="22">
        <f t="shared" si="3"/>
        <v>928.101</v>
      </c>
      <c r="P21" s="22">
        <v>110.871</v>
      </c>
      <c r="Q21" s="17"/>
      <c r="R21" s="23">
        <v>595.03</v>
      </c>
      <c r="S21" s="17"/>
      <c r="T21" s="23">
        <v>152</v>
      </c>
      <c r="U21" s="23">
        <v>70.2</v>
      </c>
      <c r="V21" s="24">
        <v>923.2</v>
      </c>
      <c r="W21" s="23">
        <v>1024.8</v>
      </c>
      <c r="X21" s="17"/>
      <c r="Y21" s="17"/>
      <c r="Z21" s="17"/>
      <c r="AA21" s="17"/>
      <c r="AB21" s="24">
        <v>2480</v>
      </c>
      <c r="AC21" s="23">
        <v>1310.2</v>
      </c>
      <c r="AD21" s="22">
        <f t="shared" si="4"/>
        <v>3263.1009999999997</v>
      </c>
      <c r="AE21" s="22">
        <v>8</v>
      </c>
      <c r="AF21" s="25">
        <f t="shared" si="5"/>
        <v>2816.056</v>
      </c>
      <c r="AG21" s="25">
        <f t="shared" si="6"/>
        <v>234.617</v>
      </c>
      <c r="AH21" s="25">
        <f t="shared" si="7"/>
        <v>48.947</v>
      </c>
      <c r="AI21" s="25">
        <f t="shared" si="8"/>
        <v>163.481</v>
      </c>
      <c r="AJ21" s="23">
        <f t="shared" si="9"/>
        <v>0.973043387505591</v>
      </c>
    </row>
    <row r="22" spans="1:36" ht="11.25">
      <c r="A22" s="17">
        <v>11</v>
      </c>
      <c r="B22" s="26"/>
      <c r="C22" s="19" t="s">
        <v>46</v>
      </c>
      <c r="D22" s="27">
        <v>1</v>
      </c>
      <c r="E22" s="27"/>
      <c r="F22" s="27">
        <v>1986</v>
      </c>
      <c r="G22" s="20">
        <f>(2011-F22)/47.6*100</f>
        <v>52.52100840336135</v>
      </c>
      <c r="H22" s="27"/>
      <c r="I22" s="21">
        <f>J22+L22</f>
        <v>2831.7999999999997</v>
      </c>
      <c r="J22" s="21">
        <v>2356.6</v>
      </c>
      <c r="K22" s="22">
        <v>2144.1</v>
      </c>
      <c r="L22" s="22">
        <v>475.2</v>
      </c>
      <c r="M22" s="27">
        <v>138</v>
      </c>
      <c r="N22" s="22">
        <f>AD22</f>
        <v>2384.501</v>
      </c>
      <c r="O22" s="22">
        <f>P22+R22+T22+U22</f>
        <v>893.1010000000001</v>
      </c>
      <c r="P22" s="22">
        <v>110.871</v>
      </c>
      <c r="Q22" s="28"/>
      <c r="R22" s="22">
        <v>559.7</v>
      </c>
      <c r="S22" s="28"/>
      <c r="T22" s="22">
        <v>125.72</v>
      </c>
      <c r="U22" s="22">
        <v>96.81</v>
      </c>
      <c r="V22" s="20">
        <v>1771.5</v>
      </c>
      <c r="W22" s="22">
        <v>856.4</v>
      </c>
      <c r="X22" s="27"/>
      <c r="Y22" s="27"/>
      <c r="Z22" s="27"/>
      <c r="AA22" s="27"/>
      <c r="AB22" s="20">
        <v>2030</v>
      </c>
      <c r="AC22" s="22">
        <v>635</v>
      </c>
      <c r="AD22" s="22">
        <f>O22+W22+AC22</f>
        <v>2384.501</v>
      </c>
      <c r="AE22" s="22">
        <v>8</v>
      </c>
      <c r="AF22" s="25">
        <f t="shared" si="5"/>
        <v>2057.824</v>
      </c>
      <c r="AG22" s="25">
        <f t="shared" si="6"/>
        <v>171.446</v>
      </c>
      <c r="AH22" s="25">
        <f t="shared" si="7"/>
        <v>35.768</v>
      </c>
      <c r="AI22" s="25">
        <f t="shared" si="8"/>
        <v>119.464</v>
      </c>
      <c r="AJ22" s="22">
        <f>AD22/J22</f>
        <v>1.0118395145548673</v>
      </c>
    </row>
    <row r="23" spans="1:36" ht="11.25">
      <c r="A23" s="17">
        <v>12</v>
      </c>
      <c r="B23" s="18"/>
      <c r="C23" s="19" t="s">
        <v>46</v>
      </c>
      <c r="D23" s="17">
        <v>1</v>
      </c>
      <c r="E23" s="17" t="s">
        <v>41</v>
      </c>
      <c r="F23" s="17">
        <v>1991</v>
      </c>
      <c r="G23" s="20">
        <f aca="true" t="shared" si="10" ref="G23:G31">(2011-F23)/47.6*100</f>
        <v>42.016806722689076</v>
      </c>
      <c r="H23" s="17"/>
      <c r="I23" s="21">
        <f aca="true" t="shared" si="11" ref="I23:I31">J23+L23</f>
        <v>1497.9</v>
      </c>
      <c r="J23" s="17">
        <v>1348.9</v>
      </c>
      <c r="K23" s="17">
        <v>1316.6</v>
      </c>
      <c r="L23" s="17">
        <v>149</v>
      </c>
      <c r="M23" s="17">
        <v>52</v>
      </c>
      <c r="N23" s="22">
        <f aca="true" t="shared" si="12" ref="N23:N31">AD23</f>
        <v>1757.6709999999998</v>
      </c>
      <c r="O23" s="22">
        <f aca="true" t="shared" si="13" ref="O23:O31">P23+R23+T23+U23</f>
        <v>871.5709999999999</v>
      </c>
      <c r="P23" s="22">
        <v>110.871</v>
      </c>
      <c r="Q23" s="17"/>
      <c r="R23" s="23">
        <v>545.3</v>
      </c>
      <c r="S23" s="17"/>
      <c r="T23" s="23">
        <v>123.6</v>
      </c>
      <c r="U23" s="23">
        <v>91.8</v>
      </c>
      <c r="V23" s="24">
        <v>419.9</v>
      </c>
      <c r="W23" s="23">
        <v>466.1</v>
      </c>
      <c r="X23" s="17"/>
      <c r="Y23" s="17"/>
      <c r="Z23" s="17"/>
      <c r="AA23" s="17"/>
      <c r="AB23" s="24">
        <v>1419</v>
      </c>
      <c r="AC23" s="23">
        <v>420</v>
      </c>
      <c r="AD23" s="22">
        <f aca="true" t="shared" si="14" ref="AD23:AD31">O23+W23+AC23</f>
        <v>1757.6709999999998</v>
      </c>
      <c r="AE23" s="22">
        <v>8</v>
      </c>
      <c r="AF23" s="25">
        <f t="shared" si="5"/>
        <v>1516.87</v>
      </c>
      <c r="AG23" s="25">
        <f t="shared" si="6"/>
        <v>126.377</v>
      </c>
      <c r="AH23" s="25">
        <f t="shared" si="7"/>
        <v>26.365</v>
      </c>
      <c r="AI23" s="25">
        <f t="shared" si="8"/>
        <v>88.059</v>
      </c>
      <c r="AJ23" s="22">
        <f aca="true" t="shared" si="15" ref="AJ23:AJ31">AD23/J23</f>
        <v>1.3030402550226108</v>
      </c>
    </row>
    <row r="24" spans="1:36" ht="11.25">
      <c r="A24" s="17">
        <v>13</v>
      </c>
      <c r="B24" s="18"/>
      <c r="C24" s="19" t="s">
        <v>46</v>
      </c>
      <c r="D24" s="17">
        <v>5</v>
      </c>
      <c r="E24" s="17"/>
      <c r="F24" s="17">
        <v>1991</v>
      </c>
      <c r="G24" s="20">
        <f t="shared" si="10"/>
        <v>42.016806722689076</v>
      </c>
      <c r="H24" s="17"/>
      <c r="I24" s="21">
        <f t="shared" si="11"/>
        <v>3519.6400000000003</v>
      </c>
      <c r="J24" s="17">
        <v>3184.84</v>
      </c>
      <c r="K24" s="17">
        <v>2993.24</v>
      </c>
      <c r="L24" s="17">
        <v>334.8</v>
      </c>
      <c r="M24" s="17">
        <v>164</v>
      </c>
      <c r="N24" s="22">
        <f t="shared" si="12"/>
        <v>3094.141</v>
      </c>
      <c r="O24" s="22">
        <f t="shared" si="13"/>
        <v>881.5409999999999</v>
      </c>
      <c r="P24" s="22">
        <v>110.871</v>
      </c>
      <c r="Q24" s="17"/>
      <c r="R24" s="23">
        <v>548.04</v>
      </c>
      <c r="S24" s="17"/>
      <c r="T24" s="23">
        <v>145.89</v>
      </c>
      <c r="U24" s="23">
        <v>76.74</v>
      </c>
      <c r="V24" s="24">
        <v>846.9</v>
      </c>
      <c r="W24" s="23">
        <v>992.6</v>
      </c>
      <c r="X24" s="17"/>
      <c r="Y24" s="17"/>
      <c r="Z24" s="17"/>
      <c r="AA24" s="17"/>
      <c r="AB24" s="24">
        <v>2693</v>
      </c>
      <c r="AC24" s="23">
        <v>1220</v>
      </c>
      <c r="AD24" s="22">
        <f t="shared" si="14"/>
        <v>3094.141</v>
      </c>
      <c r="AE24" s="22">
        <v>8</v>
      </c>
      <c r="AF24" s="25">
        <f t="shared" si="5"/>
        <v>2670.244</v>
      </c>
      <c r="AG24" s="25">
        <f t="shared" si="6"/>
        <v>222.469</v>
      </c>
      <c r="AH24" s="25">
        <f t="shared" si="7"/>
        <v>46.412</v>
      </c>
      <c r="AI24" s="25">
        <f t="shared" si="8"/>
        <v>155.016</v>
      </c>
      <c r="AJ24" s="22">
        <f t="shared" si="15"/>
        <v>0.9715216462993431</v>
      </c>
    </row>
    <row r="25" spans="1:36" ht="11.25">
      <c r="A25" s="17">
        <v>14</v>
      </c>
      <c r="B25" s="18"/>
      <c r="C25" s="19" t="s">
        <v>46</v>
      </c>
      <c r="D25" s="17">
        <v>5</v>
      </c>
      <c r="E25" s="17" t="s">
        <v>41</v>
      </c>
      <c r="F25" s="17">
        <v>1994</v>
      </c>
      <c r="G25" s="20">
        <f t="shared" si="10"/>
        <v>35.714285714285715</v>
      </c>
      <c r="H25" s="17"/>
      <c r="I25" s="21">
        <f t="shared" si="11"/>
        <v>3560.7</v>
      </c>
      <c r="J25" s="17">
        <v>3190.2</v>
      </c>
      <c r="K25" s="17">
        <v>2845.6</v>
      </c>
      <c r="L25" s="17">
        <v>370.5</v>
      </c>
      <c r="M25" s="17">
        <v>102</v>
      </c>
      <c r="N25" s="22">
        <f t="shared" si="12"/>
        <v>3434.2709999999997</v>
      </c>
      <c r="O25" s="22">
        <f t="shared" si="13"/>
        <v>1134.271</v>
      </c>
      <c r="P25" s="22">
        <v>110.871</v>
      </c>
      <c r="Q25" s="17"/>
      <c r="R25" s="23">
        <v>754.8</v>
      </c>
      <c r="S25" s="17"/>
      <c r="T25" s="23">
        <v>175.9</v>
      </c>
      <c r="U25" s="23">
        <v>92.7</v>
      </c>
      <c r="V25" s="24">
        <v>884.4</v>
      </c>
      <c r="W25" s="23">
        <v>1200</v>
      </c>
      <c r="X25" s="17"/>
      <c r="Y25" s="17"/>
      <c r="Z25" s="17"/>
      <c r="AA25" s="17"/>
      <c r="AB25" s="24">
        <v>2290</v>
      </c>
      <c r="AC25" s="23">
        <v>1100</v>
      </c>
      <c r="AD25" s="22">
        <f t="shared" si="14"/>
        <v>3434.2709999999997</v>
      </c>
      <c r="AE25" s="22">
        <v>8</v>
      </c>
      <c r="AF25" s="25">
        <f t="shared" si="5"/>
        <v>2963.776</v>
      </c>
      <c r="AG25" s="25">
        <f t="shared" si="6"/>
        <v>246.924</v>
      </c>
      <c r="AH25" s="25">
        <f t="shared" si="7"/>
        <v>51.514</v>
      </c>
      <c r="AI25" s="25">
        <f t="shared" si="8"/>
        <v>172.057</v>
      </c>
      <c r="AJ25" s="22">
        <f t="shared" si="15"/>
        <v>1.076506488621403</v>
      </c>
    </row>
    <row r="26" spans="1:36" ht="11.25">
      <c r="A26" s="17">
        <v>15</v>
      </c>
      <c r="B26" s="18"/>
      <c r="C26" s="19" t="s">
        <v>46</v>
      </c>
      <c r="D26" s="17">
        <v>5</v>
      </c>
      <c r="E26" s="17" t="s">
        <v>42</v>
      </c>
      <c r="F26" s="17">
        <v>1994</v>
      </c>
      <c r="G26" s="20">
        <f t="shared" si="10"/>
        <v>35.714285714285715</v>
      </c>
      <c r="H26" s="17"/>
      <c r="I26" s="21">
        <f t="shared" si="11"/>
        <v>3593</v>
      </c>
      <c r="J26" s="17">
        <v>3262.4</v>
      </c>
      <c r="K26" s="17">
        <v>3058.4</v>
      </c>
      <c r="L26" s="17">
        <v>330.6</v>
      </c>
      <c r="M26" s="17">
        <v>102</v>
      </c>
      <c r="N26" s="22">
        <f t="shared" si="12"/>
        <v>5407.441</v>
      </c>
      <c r="O26" s="22">
        <f t="shared" si="13"/>
        <v>1137.471</v>
      </c>
      <c r="P26" s="22">
        <v>110.871</v>
      </c>
      <c r="Q26" s="17"/>
      <c r="R26" s="23">
        <v>755.2</v>
      </c>
      <c r="S26" s="17"/>
      <c r="T26" s="23">
        <v>178.2</v>
      </c>
      <c r="U26" s="23">
        <v>93.2</v>
      </c>
      <c r="V26" s="24">
        <v>1273</v>
      </c>
      <c r="W26" s="23">
        <v>1419.97</v>
      </c>
      <c r="X26" s="17"/>
      <c r="Y26" s="17"/>
      <c r="Z26" s="17"/>
      <c r="AA26" s="17"/>
      <c r="AB26" s="24">
        <v>3743</v>
      </c>
      <c r="AC26" s="23">
        <v>2850</v>
      </c>
      <c r="AD26" s="22">
        <f t="shared" si="14"/>
        <v>5407.441</v>
      </c>
      <c r="AE26" s="22">
        <v>8</v>
      </c>
      <c r="AF26" s="25">
        <f t="shared" si="5"/>
        <v>4666.622</v>
      </c>
      <c r="AG26" s="25">
        <f t="shared" si="6"/>
        <v>388.795</v>
      </c>
      <c r="AH26" s="25">
        <f t="shared" si="7"/>
        <v>81.112</v>
      </c>
      <c r="AI26" s="25">
        <f t="shared" si="8"/>
        <v>270.913</v>
      </c>
      <c r="AJ26" s="22">
        <f t="shared" si="15"/>
        <v>1.6575039847964688</v>
      </c>
    </row>
    <row r="27" spans="1:36" ht="11.25">
      <c r="A27" s="17">
        <v>16</v>
      </c>
      <c r="B27" s="18"/>
      <c r="C27" s="19" t="s">
        <v>46</v>
      </c>
      <c r="D27" s="17">
        <v>7</v>
      </c>
      <c r="E27" s="17"/>
      <c r="F27" s="17">
        <v>1992</v>
      </c>
      <c r="G27" s="20">
        <f t="shared" si="10"/>
        <v>39.91596638655462</v>
      </c>
      <c r="H27" s="17"/>
      <c r="I27" s="21">
        <f t="shared" si="11"/>
        <v>4795.7</v>
      </c>
      <c r="J27" s="17">
        <v>4295.3</v>
      </c>
      <c r="K27" s="17">
        <v>4085.7</v>
      </c>
      <c r="L27" s="17">
        <v>500.4</v>
      </c>
      <c r="M27" s="17">
        <v>188</v>
      </c>
      <c r="N27" s="22">
        <f t="shared" si="12"/>
        <v>2880.8810000000003</v>
      </c>
      <c r="O27" s="22">
        <f t="shared" si="13"/>
        <v>720.681</v>
      </c>
      <c r="P27" s="22">
        <v>110.871</v>
      </c>
      <c r="Q27" s="17"/>
      <c r="R27" s="23">
        <v>435</v>
      </c>
      <c r="S27" s="17"/>
      <c r="T27" s="23">
        <v>106.21</v>
      </c>
      <c r="U27" s="23">
        <v>68.6</v>
      </c>
      <c r="V27" s="24">
        <v>565</v>
      </c>
      <c r="W27" s="23">
        <v>740.2</v>
      </c>
      <c r="X27" s="17"/>
      <c r="Y27" s="17"/>
      <c r="Z27" s="17"/>
      <c r="AA27" s="17"/>
      <c r="AB27" s="24">
        <v>3404</v>
      </c>
      <c r="AC27" s="23">
        <v>1420</v>
      </c>
      <c r="AD27" s="22">
        <f t="shared" si="14"/>
        <v>2880.8810000000003</v>
      </c>
      <c r="AE27" s="22">
        <v>8</v>
      </c>
      <c r="AF27" s="25">
        <f t="shared" si="5"/>
        <v>2486.2</v>
      </c>
      <c r="AG27" s="25">
        <f t="shared" si="6"/>
        <v>207.135</v>
      </c>
      <c r="AH27" s="25">
        <f t="shared" si="7"/>
        <v>43.213</v>
      </c>
      <c r="AI27" s="25">
        <f t="shared" si="8"/>
        <v>144.332</v>
      </c>
      <c r="AJ27" s="22">
        <f t="shared" si="15"/>
        <v>0.6707054222056668</v>
      </c>
    </row>
    <row r="28" spans="1:36" ht="11.25">
      <c r="A28" s="17">
        <v>17</v>
      </c>
      <c r="B28" s="18"/>
      <c r="C28" s="19" t="s">
        <v>46</v>
      </c>
      <c r="D28" s="17">
        <v>7</v>
      </c>
      <c r="E28" s="17" t="s">
        <v>43</v>
      </c>
      <c r="F28" s="17">
        <v>1989</v>
      </c>
      <c r="G28" s="20">
        <f t="shared" si="10"/>
        <v>46.21848739495798</v>
      </c>
      <c r="H28" s="17"/>
      <c r="I28" s="21">
        <f t="shared" si="11"/>
        <v>5312.41</v>
      </c>
      <c r="J28" s="17">
        <v>4819.61</v>
      </c>
      <c r="K28" s="17">
        <v>4706.81</v>
      </c>
      <c r="L28" s="17">
        <v>492.8</v>
      </c>
      <c r="M28" s="17">
        <v>212</v>
      </c>
      <c r="N28" s="22">
        <f t="shared" si="12"/>
        <v>4824.341</v>
      </c>
      <c r="O28" s="22">
        <f t="shared" si="13"/>
        <v>1205.301</v>
      </c>
      <c r="P28" s="22">
        <v>110.871</v>
      </c>
      <c r="Q28" s="17"/>
      <c r="R28" s="23">
        <v>769.12</v>
      </c>
      <c r="S28" s="17"/>
      <c r="T28" s="23">
        <v>185.68</v>
      </c>
      <c r="U28" s="23">
        <v>139.63</v>
      </c>
      <c r="V28" s="24">
        <v>1270.5</v>
      </c>
      <c r="W28" s="23">
        <v>1489.04</v>
      </c>
      <c r="X28" s="17"/>
      <c r="Y28" s="17"/>
      <c r="Z28" s="17"/>
      <c r="AA28" s="17"/>
      <c r="AB28" s="24">
        <v>3622</v>
      </c>
      <c r="AC28" s="23">
        <v>2130</v>
      </c>
      <c r="AD28" s="22">
        <f t="shared" si="14"/>
        <v>4824.341</v>
      </c>
      <c r="AE28" s="22">
        <v>8</v>
      </c>
      <c r="AF28" s="25">
        <f t="shared" si="5"/>
        <v>4163.406</v>
      </c>
      <c r="AG28" s="25">
        <f t="shared" si="6"/>
        <v>346.87</v>
      </c>
      <c r="AH28" s="25">
        <f t="shared" si="7"/>
        <v>72.365</v>
      </c>
      <c r="AI28" s="25">
        <f t="shared" si="8"/>
        <v>241.699</v>
      </c>
      <c r="AJ28" s="22">
        <f t="shared" si="15"/>
        <v>1.000981614694965</v>
      </c>
    </row>
    <row r="29" spans="1:36" ht="11.25">
      <c r="A29" s="17">
        <v>18</v>
      </c>
      <c r="B29" s="18"/>
      <c r="C29" s="19" t="s">
        <v>46</v>
      </c>
      <c r="D29" s="17">
        <v>9</v>
      </c>
      <c r="E29" s="17"/>
      <c r="F29" s="17">
        <v>1982</v>
      </c>
      <c r="G29" s="20">
        <f t="shared" si="10"/>
        <v>60.924369747899156</v>
      </c>
      <c r="H29" s="17"/>
      <c r="I29" s="21">
        <f t="shared" si="11"/>
        <v>5359.6</v>
      </c>
      <c r="J29" s="17">
        <v>4844</v>
      </c>
      <c r="K29" s="17">
        <v>4627.3</v>
      </c>
      <c r="L29" s="17">
        <v>515.6</v>
      </c>
      <c r="M29" s="17">
        <v>182</v>
      </c>
      <c r="N29" s="22">
        <f t="shared" si="12"/>
        <v>4769.211</v>
      </c>
      <c r="O29" s="22">
        <f t="shared" si="13"/>
        <v>1163.271</v>
      </c>
      <c r="P29" s="22">
        <v>110.871</v>
      </c>
      <c r="Q29" s="17"/>
      <c r="R29" s="23">
        <v>758.1</v>
      </c>
      <c r="S29" s="17"/>
      <c r="T29" s="23">
        <v>169.2</v>
      </c>
      <c r="U29" s="23">
        <v>125.1</v>
      </c>
      <c r="V29" s="24">
        <v>1199.6</v>
      </c>
      <c r="W29" s="23">
        <v>1405.94</v>
      </c>
      <c r="X29" s="17"/>
      <c r="Y29" s="17"/>
      <c r="Z29" s="17"/>
      <c r="AA29" s="17"/>
      <c r="AB29" s="24">
        <v>3600</v>
      </c>
      <c r="AC29" s="23">
        <v>2200</v>
      </c>
      <c r="AD29" s="22">
        <f t="shared" si="14"/>
        <v>4769.211</v>
      </c>
      <c r="AE29" s="22">
        <v>8</v>
      </c>
      <c r="AF29" s="25">
        <f t="shared" si="5"/>
        <v>4115.829</v>
      </c>
      <c r="AG29" s="25">
        <f t="shared" si="6"/>
        <v>342.906</v>
      </c>
      <c r="AH29" s="25">
        <f t="shared" si="7"/>
        <v>71.538</v>
      </c>
      <c r="AI29" s="25">
        <f t="shared" si="8"/>
        <v>238.937</v>
      </c>
      <c r="AJ29" s="22">
        <f t="shared" si="15"/>
        <v>0.9845604872006607</v>
      </c>
    </row>
    <row r="30" spans="1:36" ht="11.25">
      <c r="A30" s="17">
        <v>19</v>
      </c>
      <c r="B30" s="18"/>
      <c r="C30" s="19" t="s">
        <v>46</v>
      </c>
      <c r="D30" s="17">
        <v>9</v>
      </c>
      <c r="E30" s="17" t="s">
        <v>41</v>
      </c>
      <c r="F30" s="17">
        <v>1989</v>
      </c>
      <c r="G30" s="20">
        <f t="shared" si="10"/>
        <v>46.21848739495798</v>
      </c>
      <c r="H30" s="17"/>
      <c r="I30" s="21">
        <f t="shared" si="11"/>
        <v>5388.46</v>
      </c>
      <c r="J30" s="17">
        <v>4885.56</v>
      </c>
      <c r="K30" s="17">
        <f>J30-211.5</f>
        <v>4674.06</v>
      </c>
      <c r="L30" s="17">
        <v>502.9</v>
      </c>
      <c r="M30" s="17">
        <v>191</v>
      </c>
      <c r="N30" s="22">
        <f t="shared" si="12"/>
        <v>4880.021</v>
      </c>
      <c r="O30" s="22">
        <f t="shared" si="13"/>
        <v>1176.571</v>
      </c>
      <c r="P30" s="22">
        <v>110.871</v>
      </c>
      <c r="Q30" s="17"/>
      <c r="R30" s="23">
        <v>763.5</v>
      </c>
      <c r="S30" s="17"/>
      <c r="T30" s="23">
        <v>172.9</v>
      </c>
      <c r="U30" s="23">
        <v>129.3</v>
      </c>
      <c r="V30" s="24">
        <v>1282.8</v>
      </c>
      <c r="W30" s="23">
        <v>1503.45</v>
      </c>
      <c r="X30" s="17"/>
      <c r="Y30" s="17"/>
      <c r="Z30" s="17"/>
      <c r="AA30" s="17"/>
      <c r="AB30" s="24">
        <v>1814</v>
      </c>
      <c r="AC30" s="23">
        <v>2200</v>
      </c>
      <c r="AD30" s="22">
        <f t="shared" si="14"/>
        <v>4880.021</v>
      </c>
      <c r="AE30" s="22">
        <v>8</v>
      </c>
      <c r="AF30" s="25">
        <f t="shared" si="5"/>
        <v>4211.458</v>
      </c>
      <c r="AG30" s="25">
        <f t="shared" si="6"/>
        <v>350.874</v>
      </c>
      <c r="AH30" s="25">
        <f t="shared" si="7"/>
        <v>73.2</v>
      </c>
      <c r="AI30" s="25">
        <f t="shared" si="8"/>
        <v>244.489</v>
      </c>
      <c r="AJ30" s="22">
        <f t="shared" si="15"/>
        <v>0.9988662507470994</v>
      </c>
    </row>
    <row r="31" spans="1:36" ht="11.25">
      <c r="A31" s="17">
        <v>20</v>
      </c>
      <c r="B31" s="18"/>
      <c r="C31" s="19" t="s">
        <v>46</v>
      </c>
      <c r="D31" s="17">
        <v>11</v>
      </c>
      <c r="E31" s="17"/>
      <c r="F31" s="17">
        <v>1976</v>
      </c>
      <c r="G31" s="20">
        <f t="shared" si="10"/>
        <v>73.52941176470587</v>
      </c>
      <c r="H31" s="17"/>
      <c r="I31" s="21">
        <f t="shared" si="11"/>
        <v>4830.4</v>
      </c>
      <c r="J31" s="17">
        <v>4433.7</v>
      </c>
      <c r="K31" s="17">
        <f>J31-128.5</f>
        <v>4305.2</v>
      </c>
      <c r="L31" s="17">
        <v>396.7</v>
      </c>
      <c r="M31" s="17">
        <v>209</v>
      </c>
      <c r="N31" s="22">
        <f t="shared" si="12"/>
        <v>3174.891</v>
      </c>
      <c r="O31" s="22">
        <f t="shared" si="13"/>
        <v>1157.371</v>
      </c>
      <c r="P31" s="22">
        <v>110.871</v>
      </c>
      <c r="Q31" s="17"/>
      <c r="R31" s="23">
        <v>760.5</v>
      </c>
      <c r="S31" s="17"/>
      <c r="T31" s="23">
        <v>175.8</v>
      </c>
      <c r="U31" s="23">
        <v>110.2</v>
      </c>
      <c r="V31" s="24">
        <v>1232</v>
      </c>
      <c r="W31" s="23">
        <v>1367.52</v>
      </c>
      <c r="X31" s="17"/>
      <c r="Y31" s="17"/>
      <c r="Z31" s="17"/>
      <c r="AA31" s="17"/>
      <c r="AB31" s="24">
        <v>1649.5</v>
      </c>
      <c r="AC31" s="23">
        <v>650</v>
      </c>
      <c r="AD31" s="22">
        <f t="shared" si="14"/>
        <v>3174.891</v>
      </c>
      <c r="AE31" s="22">
        <v>8</v>
      </c>
      <c r="AF31" s="25">
        <f t="shared" si="5"/>
        <v>2739.931</v>
      </c>
      <c r="AG31" s="25">
        <f t="shared" si="6"/>
        <v>228.275</v>
      </c>
      <c r="AH31" s="25">
        <f t="shared" si="7"/>
        <v>47.623</v>
      </c>
      <c r="AI31" s="25">
        <f t="shared" si="8"/>
        <v>159.062</v>
      </c>
      <c r="AJ31" s="22">
        <f t="shared" si="15"/>
        <v>0.7160816022734963</v>
      </c>
    </row>
    <row r="32" spans="1:36" s="30" customFormat="1" ht="10.5">
      <c r="A32" s="60" t="s">
        <v>78</v>
      </c>
      <c r="B32" s="60"/>
      <c r="C32" s="60"/>
      <c r="D32" s="60"/>
      <c r="E32" s="60"/>
      <c r="F32" s="60"/>
      <c r="G32" s="60"/>
      <c r="H32" s="60"/>
      <c r="I32" s="29">
        <f>SUM(I12:I31)</f>
        <v>81276.40000000001</v>
      </c>
      <c r="J32" s="29">
        <f aca="true" t="shared" si="16" ref="J32:AI32">SUM(J12:J31)</f>
        <v>73417.7</v>
      </c>
      <c r="K32" s="29">
        <f t="shared" si="16"/>
        <v>69601.75</v>
      </c>
      <c r="L32" s="29">
        <f t="shared" si="16"/>
        <v>7858.7</v>
      </c>
      <c r="M32" s="29">
        <f t="shared" si="16"/>
        <v>3134</v>
      </c>
      <c r="N32" s="29">
        <f t="shared" si="16"/>
        <v>72057.26000000001</v>
      </c>
      <c r="O32" s="29">
        <f t="shared" si="16"/>
        <v>20159.084000000003</v>
      </c>
      <c r="P32" s="29">
        <f t="shared" si="16"/>
        <v>2217.420000000001</v>
      </c>
      <c r="Q32" s="29">
        <f t="shared" si="16"/>
        <v>0</v>
      </c>
      <c r="R32" s="29">
        <f t="shared" si="16"/>
        <v>12950.084</v>
      </c>
      <c r="S32" s="29">
        <f t="shared" si="16"/>
        <v>0</v>
      </c>
      <c r="T32" s="29">
        <f t="shared" si="16"/>
        <v>3109.06</v>
      </c>
      <c r="U32" s="29">
        <f t="shared" si="16"/>
        <v>1882.52</v>
      </c>
      <c r="V32" s="29">
        <f t="shared" si="16"/>
        <v>20193.499999999996</v>
      </c>
      <c r="W32" s="29">
        <f t="shared" si="16"/>
        <v>22262.976</v>
      </c>
      <c r="X32" s="29">
        <f t="shared" si="16"/>
        <v>0</v>
      </c>
      <c r="Y32" s="29">
        <f t="shared" si="16"/>
        <v>0</v>
      </c>
      <c r="Z32" s="29">
        <f t="shared" si="16"/>
        <v>0</v>
      </c>
      <c r="AA32" s="29">
        <f t="shared" si="16"/>
        <v>0</v>
      </c>
      <c r="AB32" s="29">
        <f t="shared" si="16"/>
        <v>51731.5</v>
      </c>
      <c r="AC32" s="29">
        <f t="shared" si="16"/>
        <v>29635.2</v>
      </c>
      <c r="AD32" s="29">
        <f t="shared" si="16"/>
        <v>72057.26000000001</v>
      </c>
      <c r="AE32" s="29">
        <f t="shared" si="16"/>
        <v>160</v>
      </c>
      <c r="AF32" s="29">
        <f t="shared" si="16"/>
        <v>62185.414</v>
      </c>
      <c r="AG32" s="29">
        <f t="shared" si="16"/>
        <v>5180.919999999999</v>
      </c>
      <c r="AH32" s="29">
        <f t="shared" si="16"/>
        <v>1080.8590000000002</v>
      </c>
      <c r="AI32" s="29">
        <f t="shared" si="16"/>
        <v>3610.0659999999993</v>
      </c>
      <c r="AJ32" s="29"/>
    </row>
  </sheetData>
  <sheetProtection/>
  <mergeCells count="36">
    <mergeCell ref="A6:A10"/>
    <mergeCell ref="B6:E6"/>
    <mergeCell ref="F6:H6"/>
    <mergeCell ref="I6:I9"/>
    <mergeCell ref="J6:K7"/>
    <mergeCell ref="L6:L9"/>
    <mergeCell ref="J8:J9"/>
    <mergeCell ref="K8:K9"/>
    <mergeCell ref="AF6:AI7"/>
    <mergeCell ref="V7:W9"/>
    <mergeCell ref="X7:Y9"/>
    <mergeCell ref="Z7:AA9"/>
    <mergeCell ref="AB7:AC9"/>
    <mergeCell ref="AH8:AH9"/>
    <mergeCell ref="AI8:AI9"/>
    <mergeCell ref="O6:AC6"/>
    <mergeCell ref="AJ6:AJ9"/>
    <mergeCell ref="B7:B10"/>
    <mergeCell ref="C7:C10"/>
    <mergeCell ref="D7:D10"/>
    <mergeCell ref="E7:E10"/>
    <mergeCell ref="F7:F10"/>
    <mergeCell ref="G7:G10"/>
    <mergeCell ref="H7:H10"/>
    <mergeCell ref="AD6:AD9"/>
    <mergeCell ref="AE6:AE9"/>
    <mergeCell ref="AD2:AJ2"/>
    <mergeCell ref="A32:H32"/>
    <mergeCell ref="C3:W3"/>
    <mergeCell ref="O8:O9"/>
    <mergeCell ref="P8:U8"/>
    <mergeCell ref="AF8:AF9"/>
    <mergeCell ref="AG8:AG9"/>
    <mergeCell ref="O7:U7"/>
    <mergeCell ref="M6:M9"/>
    <mergeCell ref="N6:N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"/>
  <sheetViews>
    <sheetView zoomScalePageLayoutView="0" workbookViewId="0" topLeftCell="N1">
      <selection activeCell="AB7" sqref="AB7:AC9"/>
    </sheetView>
  </sheetViews>
  <sheetFormatPr defaultColWidth="9.140625" defaultRowHeight="15"/>
  <cols>
    <col min="1" max="1" width="2.7109375" style="41" customWidth="1"/>
    <col min="2" max="2" width="0" style="41" hidden="1" customWidth="1"/>
    <col min="3" max="3" width="12.8515625" style="41" customWidth="1"/>
    <col min="4" max="4" width="2.7109375" style="41" customWidth="1"/>
    <col min="5" max="5" width="2.421875" style="41" customWidth="1"/>
    <col min="6" max="6" width="4.421875" style="41" customWidth="1"/>
    <col min="7" max="7" width="4.8515625" style="41" hidden="1" customWidth="1"/>
    <col min="8" max="8" width="0" style="41" hidden="1" customWidth="1"/>
    <col min="9" max="9" width="6.57421875" style="41" customWidth="1"/>
    <col min="10" max="11" width="7.00390625" style="41" hidden="1" customWidth="1"/>
    <col min="12" max="12" width="5.7109375" style="41" hidden="1" customWidth="1"/>
    <col min="13" max="13" width="5.7109375" style="41" customWidth="1"/>
    <col min="14" max="15" width="7.421875" style="41" customWidth="1"/>
    <col min="16" max="16" width="6.57421875" style="41" customWidth="1"/>
    <col min="17" max="17" width="3.140625" style="41" hidden="1" customWidth="1"/>
    <col min="18" max="18" width="6.57421875" style="41" customWidth="1"/>
    <col min="19" max="19" width="3.140625" style="41" hidden="1" customWidth="1"/>
    <col min="20" max="22" width="6.57421875" style="41" customWidth="1"/>
    <col min="23" max="23" width="7.421875" style="41" customWidth="1"/>
    <col min="24" max="27" width="3.140625" style="41" hidden="1" customWidth="1"/>
    <col min="28" max="28" width="6.57421875" style="41" customWidth="1"/>
    <col min="29" max="30" width="7.421875" style="41" customWidth="1"/>
    <col min="31" max="31" width="4.8515625" style="41" hidden="1" customWidth="1"/>
    <col min="32" max="32" width="7.421875" style="41" customWidth="1"/>
    <col min="33" max="33" width="6.57421875" style="41" customWidth="1"/>
    <col min="34" max="34" width="5.7109375" style="41" customWidth="1"/>
    <col min="35" max="35" width="6.57421875" style="41" customWidth="1"/>
    <col min="36" max="36" width="4.8515625" style="41" customWidth="1"/>
    <col min="37" max="16384" width="9.140625" style="41" customWidth="1"/>
  </cols>
  <sheetData>
    <row r="1" s="9" customFormat="1" ht="11.25">
      <c r="AH1" s="10" t="s">
        <v>79</v>
      </c>
    </row>
    <row r="2" spans="30:36" s="9" customFormat="1" ht="31.5" customHeight="1">
      <c r="AD2" s="59" t="s">
        <v>119</v>
      </c>
      <c r="AE2" s="59"/>
      <c r="AF2" s="59"/>
      <c r="AG2" s="59"/>
      <c r="AH2" s="59"/>
      <c r="AI2" s="59"/>
      <c r="AJ2" s="59"/>
    </row>
    <row r="3" spans="3:23" s="32" customFormat="1" ht="10.5">
      <c r="C3" s="61" t="s">
        <v>83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="11" customFormat="1" ht="11.25"/>
    <row r="5" s="11" customFormat="1" ht="11.25"/>
    <row r="6" spans="1:36" s="12" customFormat="1" ht="11.25" customHeight="1">
      <c r="A6" s="63" t="s">
        <v>36</v>
      </c>
      <c r="B6" s="63" t="s">
        <v>37</v>
      </c>
      <c r="C6" s="63"/>
      <c r="D6" s="63"/>
      <c r="E6" s="63"/>
      <c r="F6" s="68" t="s">
        <v>2</v>
      </c>
      <c r="G6" s="68"/>
      <c r="H6" s="68"/>
      <c r="I6" s="62" t="s">
        <v>3</v>
      </c>
      <c r="J6" s="63" t="s">
        <v>4</v>
      </c>
      <c r="K6" s="63"/>
      <c r="L6" s="65" t="s">
        <v>57</v>
      </c>
      <c r="M6" s="62" t="s">
        <v>5</v>
      </c>
      <c r="N6" s="62" t="s">
        <v>6</v>
      </c>
      <c r="O6" s="63" t="s">
        <v>7</v>
      </c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2" t="s">
        <v>110</v>
      </c>
      <c r="AE6" s="62" t="s">
        <v>8</v>
      </c>
      <c r="AF6" s="63" t="s">
        <v>9</v>
      </c>
      <c r="AG6" s="63"/>
      <c r="AH6" s="63"/>
      <c r="AI6" s="63"/>
      <c r="AJ6" s="62" t="s">
        <v>39</v>
      </c>
    </row>
    <row r="7" spans="1:36" s="12" customFormat="1" ht="11.25">
      <c r="A7" s="63"/>
      <c r="B7" s="64" t="s">
        <v>38</v>
      </c>
      <c r="C7" s="64" t="s">
        <v>10</v>
      </c>
      <c r="D7" s="64" t="s">
        <v>11</v>
      </c>
      <c r="E7" s="64" t="s">
        <v>12</v>
      </c>
      <c r="F7" s="62" t="s">
        <v>13</v>
      </c>
      <c r="G7" s="65" t="s">
        <v>58</v>
      </c>
      <c r="H7" s="62" t="s">
        <v>14</v>
      </c>
      <c r="I7" s="62"/>
      <c r="J7" s="63"/>
      <c r="K7" s="63"/>
      <c r="L7" s="66"/>
      <c r="M7" s="62"/>
      <c r="N7" s="62"/>
      <c r="O7" s="63" t="s">
        <v>15</v>
      </c>
      <c r="P7" s="63"/>
      <c r="Q7" s="63"/>
      <c r="R7" s="63"/>
      <c r="S7" s="63"/>
      <c r="T7" s="63"/>
      <c r="U7" s="63"/>
      <c r="V7" s="62" t="s">
        <v>16</v>
      </c>
      <c r="W7" s="62"/>
      <c r="X7" s="62" t="s">
        <v>17</v>
      </c>
      <c r="Y7" s="62"/>
      <c r="Z7" s="62" t="s">
        <v>18</v>
      </c>
      <c r="AA7" s="62"/>
      <c r="AB7" s="62" t="s">
        <v>19</v>
      </c>
      <c r="AC7" s="62"/>
      <c r="AD7" s="62"/>
      <c r="AE7" s="62"/>
      <c r="AF7" s="63"/>
      <c r="AG7" s="63"/>
      <c r="AH7" s="63"/>
      <c r="AI7" s="63"/>
      <c r="AJ7" s="62"/>
    </row>
    <row r="8" spans="1:36" s="12" customFormat="1" ht="11.25">
      <c r="A8" s="63"/>
      <c r="B8" s="64"/>
      <c r="C8" s="64"/>
      <c r="D8" s="64"/>
      <c r="E8" s="64"/>
      <c r="F8" s="62"/>
      <c r="G8" s="66"/>
      <c r="H8" s="62"/>
      <c r="I8" s="62"/>
      <c r="J8" s="62" t="s">
        <v>20</v>
      </c>
      <c r="K8" s="62" t="s">
        <v>21</v>
      </c>
      <c r="L8" s="66"/>
      <c r="M8" s="62"/>
      <c r="N8" s="62"/>
      <c r="O8" s="62" t="s">
        <v>22</v>
      </c>
      <c r="P8" s="63" t="s">
        <v>23</v>
      </c>
      <c r="Q8" s="63"/>
      <c r="R8" s="63"/>
      <c r="S8" s="63"/>
      <c r="T8" s="63"/>
      <c r="U8" s="63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 t="s">
        <v>24</v>
      </c>
      <c r="AG8" s="62" t="s">
        <v>25</v>
      </c>
      <c r="AH8" s="62" t="s">
        <v>26</v>
      </c>
      <c r="AI8" s="62" t="s">
        <v>27</v>
      </c>
      <c r="AJ8" s="62"/>
    </row>
    <row r="9" spans="1:36" s="12" customFormat="1" ht="124.5">
      <c r="A9" s="63"/>
      <c r="B9" s="64"/>
      <c r="C9" s="64"/>
      <c r="D9" s="64"/>
      <c r="E9" s="64"/>
      <c r="F9" s="62"/>
      <c r="G9" s="66"/>
      <c r="H9" s="62"/>
      <c r="I9" s="62"/>
      <c r="J9" s="62"/>
      <c r="K9" s="62"/>
      <c r="L9" s="67"/>
      <c r="M9" s="62"/>
      <c r="N9" s="62"/>
      <c r="O9" s="62"/>
      <c r="P9" s="13" t="s">
        <v>28</v>
      </c>
      <c r="Q9" s="13" t="s">
        <v>29</v>
      </c>
      <c r="R9" s="13" t="s">
        <v>30</v>
      </c>
      <c r="S9" s="13" t="s">
        <v>31</v>
      </c>
      <c r="T9" s="13" t="s">
        <v>32</v>
      </c>
      <c r="U9" s="13" t="s">
        <v>33</v>
      </c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</row>
    <row r="10" spans="1:36" s="12" customFormat="1" ht="45">
      <c r="A10" s="63"/>
      <c r="B10" s="64"/>
      <c r="C10" s="64"/>
      <c r="D10" s="64"/>
      <c r="E10" s="64"/>
      <c r="F10" s="62"/>
      <c r="G10" s="67"/>
      <c r="H10" s="62"/>
      <c r="I10" s="14" t="s">
        <v>0</v>
      </c>
      <c r="J10" s="14" t="s">
        <v>0</v>
      </c>
      <c r="K10" s="14" t="s">
        <v>0</v>
      </c>
      <c r="L10" s="14" t="s">
        <v>0</v>
      </c>
      <c r="M10" s="14" t="s">
        <v>1</v>
      </c>
      <c r="N10" s="14" t="s">
        <v>40</v>
      </c>
      <c r="O10" s="14" t="s">
        <v>40</v>
      </c>
      <c r="P10" s="14" t="s">
        <v>40</v>
      </c>
      <c r="Q10" s="14" t="s">
        <v>40</v>
      </c>
      <c r="R10" s="14" t="s">
        <v>40</v>
      </c>
      <c r="S10" s="14" t="s">
        <v>40</v>
      </c>
      <c r="T10" s="14" t="s">
        <v>40</v>
      </c>
      <c r="U10" s="14" t="s">
        <v>40</v>
      </c>
      <c r="V10" s="14" t="s">
        <v>0</v>
      </c>
      <c r="W10" s="14" t="s">
        <v>40</v>
      </c>
      <c r="X10" s="14" t="s">
        <v>34</v>
      </c>
      <c r="Y10" s="14" t="s">
        <v>40</v>
      </c>
      <c r="Z10" s="14" t="s">
        <v>0</v>
      </c>
      <c r="AA10" s="14" t="s">
        <v>40</v>
      </c>
      <c r="AB10" s="14" t="s">
        <v>0</v>
      </c>
      <c r="AC10" s="14" t="s">
        <v>40</v>
      </c>
      <c r="AD10" s="14" t="s">
        <v>40</v>
      </c>
      <c r="AE10" s="14" t="s">
        <v>40</v>
      </c>
      <c r="AF10" s="14" t="s">
        <v>40</v>
      </c>
      <c r="AG10" s="14" t="s">
        <v>40</v>
      </c>
      <c r="AH10" s="14" t="s">
        <v>40</v>
      </c>
      <c r="AI10" s="14" t="s">
        <v>40</v>
      </c>
      <c r="AJ10" s="14" t="s">
        <v>35</v>
      </c>
    </row>
    <row r="11" spans="1:36" s="12" customFormat="1" ht="11.25">
      <c r="A11" s="14">
        <v>1</v>
      </c>
      <c r="B11" s="15">
        <v>2</v>
      </c>
      <c r="C11" s="16">
        <v>2</v>
      </c>
      <c r="D11" s="16">
        <v>3</v>
      </c>
      <c r="E11" s="16">
        <v>4</v>
      </c>
      <c r="F11" s="16">
        <v>5</v>
      </c>
      <c r="G11" s="16"/>
      <c r="H11" s="16">
        <v>7</v>
      </c>
      <c r="I11" s="16">
        <v>6</v>
      </c>
      <c r="J11" s="16">
        <v>7</v>
      </c>
      <c r="K11" s="16">
        <v>8</v>
      </c>
      <c r="L11" s="16">
        <v>9</v>
      </c>
      <c r="M11" s="16">
        <v>7</v>
      </c>
      <c r="N11" s="16">
        <v>8</v>
      </c>
      <c r="O11" s="16">
        <v>9</v>
      </c>
      <c r="P11" s="16">
        <v>10</v>
      </c>
      <c r="Q11" s="16">
        <v>15</v>
      </c>
      <c r="R11" s="16">
        <v>11</v>
      </c>
      <c r="S11" s="16">
        <v>17</v>
      </c>
      <c r="T11" s="16">
        <v>12</v>
      </c>
      <c r="U11" s="16">
        <v>13</v>
      </c>
      <c r="V11" s="16">
        <v>14</v>
      </c>
      <c r="W11" s="16">
        <v>15</v>
      </c>
      <c r="X11" s="16">
        <v>22</v>
      </c>
      <c r="Y11" s="16">
        <v>23</v>
      </c>
      <c r="Z11" s="16">
        <v>24</v>
      </c>
      <c r="AA11" s="16">
        <v>25</v>
      </c>
      <c r="AB11" s="16">
        <v>16</v>
      </c>
      <c r="AC11" s="16">
        <v>17</v>
      </c>
      <c r="AD11" s="16">
        <v>18</v>
      </c>
      <c r="AE11" s="16">
        <v>29</v>
      </c>
      <c r="AF11" s="16">
        <v>19</v>
      </c>
      <c r="AG11" s="16">
        <v>20</v>
      </c>
      <c r="AH11" s="16">
        <v>21</v>
      </c>
      <c r="AI11" s="16">
        <v>22</v>
      </c>
      <c r="AJ11" s="16">
        <v>23</v>
      </c>
    </row>
    <row r="12" spans="1:36" s="12" customFormat="1" ht="11.25">
      <c r="A12" s="33">
        <v>1</v>
      </c>
      <c r="B12" s="18"/>
      <c r="C12" s="19" t="s">
        <v>47</v>
      </c>
      <c r="D12" s="17">
        <v>36</v>
      </c>
      <c r="E12" s="17"/>
      <c r="F12" s="17">
        <v>1973</v>
      </c>
      <c r="G12" s="20">
        <f>(2011-F12)/47.6*100</f>
        <v>79.83193277310924</v>
      </c>
      <c r="H12" s="17"/>
      <c r="I12" s="21">
        <f aca="true" t="shared" si="0" ref="I12:I33">J12+L12</f>
        <v>6649.700000000001</v>
      </c>
      <c r="J12" s="17">
        <v>6080.1</v>
      </c>
      <c r="K12" s="17">
        <f>J12-161.4</f>
        <v>5918.700000000001</v>
      </c>
      <c r="L12" s="17">
        <v>569.6</v>
      </c>
      <c r="M12" s="17">
        <v>300</v>
      </c>
      <c r="N12" s="22">
        <f aca="true" t="shared" si="1" ref="N12:N33">AD12</f>
        <v>3858.0699999999997</v>
      </c>
      <c r="O12" s="22">
        <f aca="true" t="shared" si="2" ref="O12:O33">P12+R12+T12+U12</f>
        <v>1213.511</v>
      </c>
      <c r="P12" s="22">
        <v>110.871</v>
      </c>
      <c r="Q12" s="17"/>
      <c r="R12" s="23">
        <v>820.34</v>
      </c>
      <c r="S12" s="17"/>
      <c r="T12" s="23">
        <v>184.3</v>
      </c>
      <c r="U12" s="23">
        <v>98</v>
      </c>
      <c r="V12" s="24">
        <v>1666.5</v>
      </c>
      <c r="W12" s="23">
        <v>1844.559</v>
      </c>
      <c r="X12" s="17"/>
      <c r="Y12" s="17"/>
      <c r="Z12" s="17"/>
      <c r="AA12" s="17"/>
      <c r="AB12" s="24">
        <v>4300</v>
      </c>
      <c r="AC12" s="23">
        <v>800</v>
      </c>
      <c r="AD12" s="22">
        <f aca="true" t="shared" si="3" ref="AD12:AD33">O12+W12+AC12</f>
        <v>3858.0699999999997</v>
      </c>
      <c r="AE12" s="22">
        <v>8</v>
      </c>
      <c r="AF12" s="25">
        <f>ROUND(AD12*86.3%,3)</f>
        <v>3329.514</v>
      </c>
      <c r="AG12" s="25">
        <f>ROUND(AD12*7.19%,3)</f>
        <v>277.395</v>
      </c>
      <c r="AH12" s="25">
        <f>ROUND(AD12*1.5%,3)</f>
        <v>57.871</v>
      </c>
      <c r="AI12" s="25">
        <f>ROUND(AD12*5.01%,3)</f>
        <v>193.289</v>
      </c>
      <c r="AJ12" s="22">
        <f aca="true" t="shared" si="4" ref="AJ12:AJ33">AD12/J12</f>
        <v>0.634540550319896</v>
      </c>
    </row>
    <row r="13" spans="1:36" s="12" customFormat="1" ht="11.25">
      <c r="A13" s="17">
        <v>2</v>
      </c>
      <c r="B13" s="18"/>
      <c r="C13" s="34" t="s">
        <v>48</v>
      </c>
      <c r="D13" s="17">
        <v>37</v>
      </c>
      <c r="E13" s="17"/>
      <c r="F13" s="17">
        <v>1982</v>
      </c>
      <c r="G13" s="20">
        <f>(2011-F13)/47.6*100</f>
        <v>60.924369747899156</v>
      </c>
      <c r="H13" s="17"/>
      <c r="I13" s="21">
        <f t="shared" si="0"/>
        <v>2953.9</v>
      </c>
      <c r="J13" s="17">
        <v>2690.4</v>
      </c>
      <c r="K13" s="17">
        <f>J13-153.9</f>
        <v>2536.5</v>
      </c>
      <c r="L13" s="17">
        <v>263.5</v>
      </c>
      <c r="M13" s="17">
        <v>122</v>
      </c>
      <c r="N13" s="22">
        <f t="shared" si="1"/>
        <v>2435.071</v>
      </c>
      <c r="O13" s="22">
        <f t="shared" si="2"/>
        <v>768.881</v>
      </c>
      <c r="P13" s="22">
        <v>110.871</v>
      </c>
      <c r="Q13" s="17"/>
      <c r="R13" s="23">
        <v>437.56</v>
      </c>
      <c r="S13" s="17"/>
      <c r="T13" s="23">
        <v>132.8</v>
      </c>
      <c r="U13" s="23">
        <v>87.65</v>
      </c>
      <c r="V13" s="24">
        <v>946.2</v>
      </c>
      <c r="W13" s="23">
        <v>1046.19</v>
      </c>
      <c r="X13" s="17"/>
      <c r="Y13" s="17"/>
      <c r="Z13" s="17"/>
      <c r="AA13" s="17"/>
      <c r="AB13" s="24">
        <v>2548</v>
      </c>
      <c r="AC13" s="23">
        <v>620</v>
      </c>
      <c r="AD13" s="22">
        <f t="shared" si="3"/>
        <v>2435.071</v>
      </c>
      <c r="AE13" s="22">
        <v>8</v>
      </c>
      <c r="AF13" s="25">
        <f aca="true" t="shared" si="5" ref="AF13:AF33">ROUND(AD13*86.3%,3)</f>
        <v>2101.466</v>
      </c>
      <c r="AG13" s="25">
        <f aca="true" t="shared" si="6" ref="AG13:AG33">ROUND(AD13*7.19%,3)</f>
        <v>175.082</v>
      </c>
      <c r="AH13" s="25">
        <f aca="true" t="shared" si="7" ref="AH13:AH33">ROUND(AD13*1.5%,3)</f>
        <v>36.526</v>
      </c>
      <c r="AI13" s="25">
        <f aca="true" t="shared" si="8" ref="AI13:AI33">ROUND(AD13*5.01%,3)</f>
        <v>121.997</v>
      </c>
      <c r="AJ13" s="22">
        <f t="shared" si="4"/>
        <v>0.9050962682129051</v>
      </c>
    </row>
    <row r="14" spans="1:36" s="12" customFormat="1" ht="11.25">
      <c r="A14" s="33">
        <v>3</v>
      </c>
      <c r="B14" s="18"/>
      <c r="C14" s="34" t="s">
        <v>48</v>
      </c>
      <c r="D14" s="17">
        <v>37</v>
      </c>
      <c r="E14" s="17" t="s">
        <v>41</v>
      </c>
      <c r="F14" s="17">
        <v>1977</v>
      </c>
      <c r="G14" s="20">
        <f>(2011-F14)/47.6*100</f>
        <v>71.42857142857143</v>
      </c>
      <c r="H14" s="17"/>
      <c r="I14" s="21">
        <f t="shared" si="0"/>
        <v>3494.7</v>
      </c>
      <c r="J14" s="17">
        <v>3230.2</v>
      </c>
      <c r="K14" s="17">
        <f>J14-192.4</f>
        <v>3037.7999999999997</v>
      </c>
      <c r="L14" s="17">
        <v>264.5</v>
      </c>
      <c r="M14" s="17">
        <v>134</v>
      </c>
      <c r="N14" s="22">
        <f t="shared" si="1"/>
        <v>2396.531</v>
      </c>
      <c r="O14" s="22">
        <f t="shared" si="2"/>
        <v>785.471</v>
      </c>
      <c r="P14" s="22">
        <v>110.871</v>
      </c>
      <c r="Q14" s="17"/>
      <c r="R14" s="23">
        <v>445</v>
      </c>
      <c r="S14" s="17"/>
      <c r="T14" s="23">
        <v>140.1</v>
      </c>
      <c r="U14" s="23">
        <v>89.5</v>
      </c>
      <c r="V14" s="24">
        <v>914.7</v>
      </c>
      <c r="W14" s="23">
        <v>1011.06</v>
      </c>
      <c r="X14" s="17"/>
      <c r="Y14" s="17"/>
      <c r="Z14" s="17"/>
      <c r="AA14" s="17"/>
      <c r="AB14" s="24">
        <v>2546</v>
      </c>
      <c r="AC14" s="23">
        <v>600</v>
      </c>
      <c r="AD14" s="22">
        <f t="shared" si="3"/>
        <v>2396.531</v>
      </c>
      <c r="AE14" s="22">
        <v>8</v>
      </c>
      <c r="AF14" s="25">
        <f t="shared" si="5"/>
        <v>2068.206</v>
      </c>
      <c r="AG14" s="25">
        <f t="shared" si="6"/>
        <v>172.311</v>
      </c>
      <c r="AH14" s="25">
        <f t="shared" si="7"/>
        <v>35.948</v>
      </c>
      <c r="AI14" s="25">
        <f t="shared" si="8"/>
        <v>120.066</v>
      </c>
      <c r="AJ14" s="22">
        <f t="shared" si="4"/>
        <v>0.7419141229645223</v>
      </c>
    </row>
    <row r="15" spans="1:36" s="12" customFormat="1" ht="11.25">
      <c r="A15" s="17">
        <v>4</v>
      </c>
      <c r="B15" s="18"/>
      <c r="C15" s="19" t="s">
        <v>87</v>
      </c>
      <c r="D15" s="17">
        <v>62</v>
      </c>
      <c r="E15" s="17"/>
      <c r="F15" s="17">
        <v>1991</v>
      </c>
      <c r="G15" s="20">
        <f>(2011-F15)/47.6*100</f>
        <v>42.016806722689076</v>
      </c>
      <c r="H15" s="17"/>
      <c r="I15" s="21">
        <f t="shared" si="0"/>
        <v>5356.6</v>
      </c>
      <c r="J15" s="17">
        <v>4858.8</v>
      </c>
      <c r="K15" s="17">
        <f>J15-106.7</f>
        <v>4752.1</v>
      </c>
      <c r="L15" s="17">
        <v>497.8</v>
      </c>
      <c r="M15" s="17">
        <v>224</v>
      </c>
      <c r="N15" s="22">
        <f t="shared" si="1"/>
        <v>4487.751</v>
      </c>
      <c r="O15" s="22">
        <f t="shared" si="2"/>
        <v>1140.771</v>
      </c>
      <c r="P15" s="22">
        <v>110.871</v>
      </c>
      <c r="Q15" s="17"/>
      <c r="R15" s="23">
        <v>756.8</v>
      </c>
      <c r="S15" s="17"/>
      <c r="T15" s="23">
        <v>174.8</v>
      </c>
      <c r="U15" s="23">
        <v>98.3</v>
      </c>
      <c r="V15" s="24">
        <v>1293.5</v>
      </c>
      <c r="W15" s="23">
        <v>1515.98</v>
      </c>
      <c r="X15" s="17"/>
      <c r="Y15" s="17"/>
      <c r="Z15" s="17"/>
      <c r="AA15" s="17"/>
      <c r="AB15" s="24">
        <v>2100</v>
      </c>
      <c r="AC15" s="23">
        <v>1831</v>
      </c>
      <c r="AD15" s="22">
        <f t="shared" si="3"/>
        <v>4487.751</v>
      </c>
      <c r="AE15" s="22">
        <v>8</v>
      </c>
      <c r="AF15" s="25">
        <f t="shared" si="5"/>
        <v>3872.929</v>
      </c>
      <c r="AG15" s="25">
        <f t="shared" si="6"/>
        <v>322.669</v>
      </c>
      <c r="AH15" s="25">
        <f t="shared" si="7"/>
        <v>67.316</v>
      </c>
      <c r="AI15" s="25">
        <f t="shared" si="8"/>
        <v>224.836</v>
      </c>
      <c r="AJ15" s="22">
        <f t="shared" si="4"/>
        <v>0.9236336132378365</v>
      </c>
    </row>
    <row r="16" spans="1:36" s="12" customFormat="1" ht="11.25">
      <c r="A16" s="33">
        <v>5</v>
      </c>
      <c r="B16" s="18"/>
      <c r="C16" s="19" t="s">
        <v>49</v>
      </c>
      <c r="D16" s="17">
        <v>44</v>
      </c>
      <c r="E16" s="17" t="s">
        <v>41</v>
      </c>
      <c r="F16" s="17">
        <v>1986</v>
      </c>
      <c r="G16" s="20">
        <f>(2011-F16)/47.6*100</f>
        <v>52.52100840336135</v>
      </c>
      <c r="H16" s="17"/>
      <c r="I16" s="21">
        <f t="shared" si="0"/>
        <v>3501.2</v>
      </c>
      <c r="J16" s="17">
        <v>3236.7</v>
      </c>
      <c r="K16" s="17">
        <f>J16-103.1</f>
        <v>3133.6</v>
      </c>
      <c r="L16" s="17">
        <v>264.5</v>
      </c>
      <c r="M16" s="17">
        <v>156</v>
      </c>
      <c r="N16" s="22">
        <f t="shared" si="1"/>
        <v>3857.135</v>
      </c>
      <c r="O16" s="22">
        <f t="shared" si="2"/>
        <v>932.535</v>
      </c>
      <c r="P16" s="22">
        <v>110.871</v>
      </c>
      <c r="Q16" s="17"/>
      <c r="R16" s="23">
        <v>578.034</v>
      </c>
      <c r="S16" s="17"/>
      <c r="T16" s="23">
        <v>146.9</v>
      </c>
      <c r="U16" s="23">
        <v>96.73</v>
      </c>
      <c r="V16" s="24">
        <v>840.4</v>
      </c>
      <c r="W16" s="23">
        <v>984.6</v>
      </c>
      <c r="X16" s="17"/>
      <c r="Y16" s="17"/>
      <c r="Z16" s="17"/>
      <c r="AA16" s="17"/>
      <c r="AB16" s="24">
        <v>2516</v>
      </c>
      <c r="AC16" s="23">
        <v>1940</v>
      </c>
      <c r="AD16" s="22">
        <f t="shared" si="3"/>
        <v>3857.135</v>
      </c>
      <c r="AE16" s="22">
        <v>8</v>
      </c>
      <c r="AF16" s="25">
        <f t="shared" si="5"/>
        <v>3328.708</v>
      </c>
      <c r="AG16" s="25">
        <f t="shared" si="6"/>
        <v>277.328</v>
      </c>
      <c r="AH16" s="25">
        <f t="shared" si="7"/>
        <v>57.857</v>
      </c>
      <c r="AI16" s="25">
        <f t="shared" si="8"/>
        <v>193.242</v>
      </c>
      <c r="AJ16" s="22">
        <f t="shared" si="4"/>
        <v>1.19168752124077</v>
      </c>
    </row>
    <row r="17" spans="1:36" s="12" customFormat="1" ht="11.25">
      <c r="A17" s="17">
        <v>6</v>
      </c>
      <c r="B17" s="18"/>
      <c r="C17" s="19" t="s">
        <v>49</v>
      </c>
      <c r="D17" s="17">
        <v>30</v>
      </c>
      <c r="E17" s="17"/>
      <c r="F17" s="17">
        <v>1955</v>
      </c>
      <c r="G17" s="20">
        <v>78</v>
      </c>
      <c r="H17" s="17"/>
      <c r="I17" s="21">
        <f t="shared" si="0"/>
        <v>1731.6</v>
      </c>
      <c r="J17" s="17">
        <v>1525.3</v>
      </c>
      <c r="K17" s="17">
        <f>J17</f>
        <v>1525.3</v>
      </c>
      <c r="L17" s="17">
        <v>206.3</v>
      </c>
      <c r="M17" s="17">
        <v>63</v>
      </c>
      <c r="N17" s="22">
        <f t="shared" si="1"/>
        <v>3103.811</v>
      </c>
      <c r="O17" s="22">
        <f t="shared" si="2"/>
        <v>911.371</v>
      </c>
      <c r="P17" s="22">
        <v>110.871</v>
      </c>
      <c r="Q17" s="17"/>
      <c r="R17" s="23">
        <v>562.8</v>
      </c>
      <c r="S17" s="17"/>
      <c r="T17" s="23">
        <v>139.8</v>
      </c>
      <c r="U17" s="23">
        <v>97.9</v>
      </c>
      <c r="V17" s="24">
        <v>1203.48</v>
      </c>
      <c r="W17" s="23">
        <v>842.44</v>
      </c>
      <c r="X17" s="17"/>
      <c r="Y17" s="17"/>
      <c r="Z17" s="17"/>
      <c r="AA17" s="17"/>
      <c r="AB17" s="24">
        <v>2100</v>
      </c>
      <c r="AC17" s="23">
        <v>1350</v>
      </c>
      <c r="AD17" s="22">
        <f t="shared" si="3"/>
        <v>3103.811</v>
      </c>
      <c r="AE17" s="22">
        <v>8</v>
      </c>
      <c r="AF17" s="25">
        <f t="shared" si="5"/>
        <v>2678.589</v>
      </c>
      <c r="AG17" s="25">
        <f t="shared" si="6"/>
        <v>223.164</v>
      </c>
      <c r="AH17" s="25">
        <f t="shared" si="7"/>
        <v>46.557</v>
      </c>
      <c r="AI17" s="25">
        <f t="shared" si="8"/>
        <v>155.501</v>
      </c>
      <c r="AJ17" s="22">
        <f t="shared" si="4"/>
        <v>2.0348855962761427</v>
      </c>
    </row>
    <row r="18" spans="1:36" s="12" customFormat="1" ht="11.25">
      <c r="A18" s="33">
        <v>7</v>
      </c>
      <c r="B18" s="18"/>
      <c r="C18" s="19" t="s">
        <v>49</v>
      </c>
      <c r="D18" s="17">
        <v>32</v>
      </c>
      <c r="E18" s="17"/>
      <c r="F18" s="17">
        <v>1955</v>
      </c>
      <c r="G18" s="20">
        <v>78</v>
      </c>
      <c r="H18" s="17"/>
      <c r="I18" s="21">
        <f t="shared" si="0"/>
        <v>2149.1</v>
      </c>
      <c r="J18" s="17">
        <v>1919.5</v>
      </c>
      <c r="K18" s="17">
        <f>J18</f>
        <v>1919.5</v>
      </c>
      <c r="L18" s="17">
        <v>229.6</v>
      </c>
      <c r="M18" s="17">
        <v>54</v>
      </c>
      <c r="N18" s="22">
        <f t="shared" si="1"/>
        <v>3277.169</v>
      </c>
      <c r="O18" s="22">
        <f t="shared" si="2"/>
        <v>875.399</v>
      </c>
      <c r="P18" s="22">
        <v>110.871</v>
      </c>
      <c r="Q18" s="17"/>
      <c r="R18" s="23">
        <v>545.038</v>
      </c>
      <c r="S18" s="17"/>
      <c r="T18" s="23">
        <v>135.37</v>
      </c>
      <c r="U18" s="23">
        <v>84.12</v>
      </c>
      <c r="V18" s="24">
        <v>1231.08</v>
      </c>
      <c r="W18" s="23">
        <v>861.77</v>
      </c>
      <c r="X18" s="17"/>
      <c r="Y18" s="17"/>
      <c r="Z18" s="17"/>
      <c r="AA18" s="17"/>
      <c r="AB18" s="24">
        <v>2460</v>
      </c>
      <c r="AC18" s="23">
        <v>1540</v>
      </c>
      <c r="AD18" s="22">
        <f t="shared" si="3"/>
        <v>3277.169</v>
      </c>
      <c r="AE18" s="22">
        <v>8</v>
      </c>
      <c r="AF18" s="25">
        <f t="shared" si="5"/>
        <v>2828.197</v>
      </c>
      <c r="AG18" s="25">
        <f t="shared" si="6"/>
        <v>235.628</v>
      </c>
      <c r="AH18" s="25">
        <f t="shared" si="7"/>
        <v>49.158</v>
      </c>
      <c r="AI18" s="25">
        <f t="shared" si="8"/>
        <v>164.186</v>
      </c>
      <c r="AJ18" s="22">
        <f t="shared" si="4"/>
        <v>1.7073034644438656</v>
      </c>
    </row>
    <row r="19" spans="1:36" s="12" customFormat="1" ht="11.25">
      <c r="A19" s="17">
        <v>8</v>
      </c>
      <c r="B19" s="18"/>
      <c r="C19" s="19" t="s">
        <v>49</v>
      </c>
      <c r="D19" s="17">
        <v>32</v>
      </c>
      <c r="E19" s="17" t="s">
        <v>41</v>
      </c>
      <c r="F19" s="17">
        <v>1966</v>
      </c>
      <c r="G19" s="20">
        <v>65</v>
      </c>
      <c r="H19" s="17"/>
      <c r="I19" s="21">
        <f t="shared" si="0"/>
        <v>3561.2400000000002</v>
      </c>
      <c r="J19" s="17">
        <v>3290.44</v>
      </c>
      <c r="K19" s="17">
        <f>J19-221.6</f>
        <v>3068.84</v>
      </c>
      <c r="L19" s="17">
        <v>270.8</v>
      </c>
      <c r="M19" s="17">
        <v>144</v>
      </c>
      <c r="N19" s="22">
        <f t="shared" si="1"/>
        <v>2385.841</v>
      </c>
      <c r="O19" s="22">
        <f t="shared" si="2"/>
        <v>762.3109999999999</v>
      </c>
      <c r="P19" s="22">
        <v>110.871</v>
      </c>
      <c r="Q19" s="17"/>
      <c r="R19" s="23">
        <v>462.4</v>
      </c>
      <c r="S19" s="17"/>
      <c r="T19" s="23">
        <v>112.54</v>
      </c>
      <c r="U19" s="23">
        <v>76.5</v>
      </c>
      <c r="V19" s="24">
        <v>922.1</v>
      </c>
      <c r="W19" s="23">
        <v>1023.53</v>
      </c>
      <c r="X19" s="17"/>
      <c r="Y19" s="17"/>
      <c r="Z19" s="17"/>
      <c r="AA19" s="17"/>
      <c r="AB19" s="24">
        <v>980</v>
      </c>
      <c r="AC19" s="23">
        <v>600</v>
      </c>
      <c r="AD19" s="22">
        <f t="shared" si="3"/>
        <v>2385.841</v>
      </c>
      <c r="AE19" s="22">
        <v>8</v>
      </c>
      <c r="AF19" s="25">
        <f t="shared" si="5"/>
        <v>2058.981</v>
      </c>
      <c r="AG19" s="25">
        <f t="shared" si="6"/>
        <v>171.542</v>
      </c>
      <c r="AH19" s="25">
        <f t="shared" si="7"/>
        <v>35.788</v>
      </c>
      <c r="AI19" s="25">
        <f t="shared" si="8"/>
        <v>119.531</v>
      </c>
      <c r="AJ19" s="22">
        <f t="shared" si="4"/>
        <v>0.7250826637167065</v>
      </c>
    </row>
    <row r="20" spans="1:36" s="12" customFormat="1" ht="11.25">
      <c r="A20" s="33">
        <v>9</v>
      </c>
      <c r="B20" s="18"/>
      <c r="C20" s="19" t="s">
        <v>49</v>
      </c>
      <c r="D20" s="17">
        <v>34</v>
      </c>
      <c r="E20" s="17"/>
      <c r="F20" s="17">
        <v>1955</v>
      </c>
      <c r="G20" s="20">
        <v>78</v>
      </c>
      <c r="H20" s="17"/>
      <c r="I20" s="21">
        <f t="shared" si="0"/>
        <v>2241.8</v>
      </c>
      <c r="J20" s="17">
        <v>2012.5</v>
      </c>
      <c r="K20" s="17">
        <f>J20-55.9</f>
        <v>1956.6</v>
      </c>
      <c r="L20" s="17">
        <v>229.3</v>
      </c>
      <c r="M20" s="17">
        <v>47</v>
      </c>
      <c r="N20" s="22">
        <f t="shared" si="1"/>
        <v>3460.679</v>
      </c>
      <c r="O20" s="22">
        <f t="shared" si="2"/>
        <v>881.109</v>
      </c>
      <c r="P20" s="22">
        <v>110.871</v>
      </c>
      <c r="Q20" s="17"/>
      <c r="R20" s="23">
        <v>545.038</v>
      </c>
      <c r="S20" s="17"/>
      <c r="T20" s="23">
        <v>136.08</v>
      </c>
      <c r="U20" s="23">
        <v>89.12</v>
      </c>
      <c r="V20" s="24">
        <v>1217</v>
      </c>
      <c r="W20" s="23">
        <v>947.57</v>
      </c>
      <c r="X20" s="17"/>
      <c r="Y20" s="17"/>
      <c r="Z20" s="17"/>
      <c r="AA20" s="17"/>
      <c r="AB20" s="24">
        <v>2611</v>
      </c>
      <c r="AC20" s="23">
        <v>1632</v>
      </c>
      <c r="AD20" s="22">
        <f t="shared" si="3"/>
        <v>3460.679</v>
      </c>
      <c r="AE20" s="22">
        <v>8</v>
      </c>
      <c r="AF20" s="25">
        <f t="shared" si="5"/>
        <v>2986.566</v>
      </c>
      <c r="AG20" s="25">
        <f t="shared" si="6"/>
        <v>248.823</v>
      </c>
      <c r="AH20" s="25">
        <f t="shared" si="7"/>
        <v>51.91</v>
      </c>
      <c r="AI20" s="25">
        <f t="shared" si="8"/>
        <v>173.38</v>
      </c>
      <c r="AJ20" s="22">
        <f t="shared" si="4"/>
        <v>1.719592049689441</v>
      </c>
    </row>
    <row r="21" spans="1:36" s="12" customFormat="1" ht="11.25">
      <c r="A21" s="17">
        <v>10</v>
      </c>
      <c r="B21" s="18"/>
      <c r="C21" s="19" t="s">
        <v>49</v>
      </c>
      <c r="D21" s="17">
        <v>36</v>
      </c>
      <c r="E21" s="17"/>
      <c r="F21" s="17">
        <v>1968</v>
      </c>
      <c r="G21" s="20">
        <v>63</v>
      </c>
      <c r="H21" s="17"/>
      <c r="I21" s="21">
        <f t="shared" si="0"/>
        <v>3001.7999999999997</v>
      </c>
      <c r="J21" s="17">
        <v>2700.7</v>
      </c>
      <c r="K21" s="17">
        <f>J21</f>
        <v>2700.7</v>
      </c>
      <c r="L21" s="17">
        <v>301.1</v>
      </c>
      <c r="M21" s="17">
        <v>90</v>
      </c>
      <c r="N21" s="22">
        <f t="shared" si="1"/>
        <v>4079.701</v>
      </c>
      <c r="O21" s="22">
        <f t="shared" si="2"/>
        <v>837.571</v>
      </c>
      <c r="P21" s="22">
        <v>110.871</v>
      </c>
      <c r="Q21" s="17"/>
      <c r="R21" s="23">
        <v>485.6</v>
      </c>
      <c r="S21" s="17"/>
      <c r="T21" s="23">
        <v>139.5</v>
      </c>
      <c r="U21" s="23">
        <v>101.6</v>
      </c>
      <c r="V21" s="24">
        <v>1684</v>
      </c>
      <c r="W21" s="23">
        <v>1126.13</v>
      </c>
      <c r="X21" s="17"/>
      <c r="Y21" s="17"/>
      <c r="Z21" s="17"/>
      <c r="AA21" s="17"/>
      <c r="AB21" s="24">
        <v>3200</v>
      </c>
      <c r="AC21" s="23">
        <v>2116</v>
      </c>
      <c r="AD21" s="22">
        <f t="shared" si="3"/>
        <v>4079.701</v>
      </c>
      <c r="AE21" s="22">
        <v>8</v>
      </c>
      <c r="AF21" s="25">
        <f t="shared" si="5"/>
        <v>3520.782</v>
      </c>
      <c r="AG21" s="25">
        <f t="shared" si="6"/>
        <v>293.331</v>
      </c>
      <c r="AH21" s="25">
        <f t="shared" si="7"/>
        <v>61.196</v>
      </c>
      <c r="AI21" s="25">
        <f t="shared" si="8"/>
        <v>204.393</v>
      </c>
      <c r="AJ21" s="22">
        <f t="shared" si="4"/>
        <v>1.5106087310697227</v>
      </c>
    </row>
    <row r="22" spans="1:36" s="12" customFormat="1" ht="11.25">
      <c r="A22" s="33">
        <v>11</v>
      </c>
      <c r="B22" s="18"/>
      <c r="C22" s="34" t="s">
        <v>86</v>
      </c>
      <c r="D22" s="17">
        <v>22</v>
      </c>
      <c r="E22" s="35"/>
      <c r="F22" s="17">
        <v>1960</v>
      </c>
      <c r="G22" s="20">
        <v>80</v>
      </c>
      <c r="H22" s="17"/>
      <c r="I22" s="21">
        <f t="shared" si="0"/>
        <v>688.7</v>
      </c>
      <c r="J22" s="17">
        <v>641.7</v>
      </c>
      <c r="K22" s="17">
        <f>J22</f>
        <v>641.7</v>
      </c>
      <c r="L22" s="17">
        <v>47</v>
      </c>
      <c r="M22" s="17">
        <v>33</v>
      </c>
      <c r="N22" s="22">
        <f t="shared" si="1"/>
        <v>2166.571</v>
      </c>
      <c r="O22" s="22">
        <f t="shared" si="2"/>
        <v>815.371</v>
      </c>
      <c r="P22" s="22">
        <v>110.871</v>
      </c>
      <c r="Q22" s="17"/>
      <c r="R22" s="23">
        <v>510.1</v>
      </c>
      <c r="S22" s="17"/>
      <c r="T22" s="23">
        <v>84</v>
      </c>
      <c r="U22" s="23">
        <v>110.4</v>
      </c>
      <c r="V22" s="24">
        <v>544.8</v>
      </c>
      <c r="W22" s="23">
        <v>430.2</v>
      </c>
      <c r="X22" s="17"/>
      <c r="Y22" s="17"/>
      <c r="Z22" s="17"/>
      <c r="AA22" s="17"/>
      <c r="AB22" s="24">
        <v>579.6</v>
      </c>
      <c r="AC22" s="23">
        <v>921</v>
      </c>
      <c r="AD22" s="22">
        <f t="shared" si="3"/>
        <v>2166.571</v>
      </c>
      <c r="AE22" s="22">
        <v>8</v>
      </c>
      <c r="AF22" s="25">
        <f t="shared" si="5"/>
        <v>1869.751</v>
      </c>
      <c r="AG22" s="25">
        <f t="shared" si="6"/>
        <v>155.776</v>
      </c>
      <c r="AH22" s="25">
        <f t="shared" si="7"/>
        <v>32.499</v>
      </c>
      <c r="AI22" s="25">
        <f t="shared" si="8"/>
        <v>108.545</v>
      </c>
      <c r="AJ22" s="22">
        <f t="shared" si="4"/>
        <v>3.37629889356397</v>
      </c>
    </row>
    <row r="23" spans="1:36" s="12" customFormat="1" ht="11.25">
      <c r="A23" s="17">
        <v>12</v>
      </c>
      <c r="B23" s="18"/>
      <c r="C23" s="19" t="s">
        <v>50</v>
      </c>
      <c r="D23" s="17">
        <v>4</v>
      </c>
      <c r="E23" s="17" t="s">
        <v>41</v>
      </c>
      <c r="F23" s="17">
        <v>1996</v>
      </c>
      <c r="G23" s="20">
        <f>(2011-F23)/47.6*100</f>
        <v>31.512605042016805</v>
      </c>
      <c r="H23" s="17"/>
      <c r="I23" s="21">
        <f t="shared" si="0"/>
        <v>5328.6</v>
      </c>
      <c r="J23" s="17">
        <v>4823.1</v>
      </c>
      <c r="K23" s="17">
        <f>J23</f>
        <v>4823.1</v>
      </c>
      <c r="L23" s="17">
        <v>505.5</v>
      </c>
      <c r="M23" s="17">
        <v>152</v>
      </c>
      <c r="N23" s="22">
        <f t="shared" si="1"/>
        <v>3333.131</v>
      </c>
      <c r="O23" s="22">
        <f t="shared" si="2"/>
        <v>987.3309999999999</v>
      </c>
      <c r="P23" s="22">
        <v>110.871</v>
      </c>
      <c r="Q23" s="17"/>
      <c r="R23" s="23">
        <v>596.01</v>
      </c>
      <c r="S23" s="17"/>
      <c r="T23" s="23">
        <v>170.2</v>
      </c>
      <c r="U23" s="23">
        <v>110.25</v>
      </c>
      <c r="V23" s="24">
        <v>848.6</v>
      </c>
      <c r="W23" s="23">
        <v>994.8</v>
      </c>
      <c r="X23" s="17"/>
      <c r="Y23" s="17"/>
      <c r="Z23" s="17"/>
      <c r="AA23" s="17"/>
      <c r="AB23" s="24">
        <v>2720</v>
      </c>
      <c r="AC23" s="23">
        <v>1351</v>
      </c>
      <c r="AD23" s="22">
        <f t="shared" si="3"/>
        <v>3333.131</v>
      </c>
      <c r="AE23" s="22">
        <v>8</v>
      </c>
      <c r="AF23" s="25">
        <f t="shared" si="5"/>
        <v>2876.492</v>
      </c>
      <c r="AG23" s="25">
        <f t="shared" si="6"/>
        <v>239.652</v>
      </c>
      <c r="AH23" s="25">
        <f t="shared" si="7"/>
        <v>49.997</v>
      </c>
      <c r="AI23" s="25">
        <f t="shared" si="8"/>
        <v>166.99</v>
      </c>
      <c r="AJ23" s="22">
        <f t="shared" si="4"/>
        <v>0.691076486077419</v>
      </c>
    </row>
    <row r="24" spans="1:36" s="12" customFormat="1" ht="11.25">
      <c r="A24" s="33">
        <v>13</v>
      </c>
      <c r="B24" s="18"/>
      <c r="C24" s="19" t="s">
        <v>50</v>
      </c>
      <c r="D24" s="17">
        <v>10</v>
      </c>
      <c r="E24" s="17" t="s">
        <v>41</v>
      </c>
      <c r="F24" s="17">
        <v>1983</v>
      </c>
      <c r="G24" s="20">
        <f>(2011-F24)/47.6*100</f>
        <v>58.82352941176471</v>
      </c>
      <c r="H24" s="17"/>
      <c r="I24" s="21">
        <f t="shared" si="0"/>
        <v>7100.9</v>
      </c>
      <c r="J24" s="17">
        <v>6448.9</v>
      </c>
      <c r="K24" s="17">
        <f>J24-204.9</f>
        <v>6244</v>
      </c>
      <c r="L24" s="17">
        <v>652</v>
      </c>
      <c r="M24" s="17">
        <v>283</v>
      </c>
      <c r="N24" s="22">
        <f t="shared" si="1"/>
        <v>4047.2709999999997</v>
      </c>
      <c r="O24" s="22">
        <f t="shared" si="2"/>
        <v>997.971</v>
      </c>
      <c r="P24" s="22">
        <v>110.871</v>
      </c>
      <c r="Q24" s="17"/>
      <c r="R24" s="23">
        <v>680</v>
      </c>
      <c r="S24" s="17"/>
      <c r="T24" s="23">
        <v>132.3</v>
      </c>
      <c r="U24" s="23">
        <v>74.8</v>
      </c>
      <c r="V24" s="24">
        <v>1638.6</v>
      </c>
      <c r="W24" s="23">
        <v>1849.3</v>
      </c>
      <c r="X24" s="17"/>
      <c r="Y24" s="17"/>
      <c r="Z24" s="17"/>
      <c r="AA24" s="17"/>
      <c r="AB24" s="24">
        <v>2630</v>
      </c>
      <c r="AC24" s="23">
        <v>1200</v>
      </c>
      <c r="AD24" s="22">
        <f t="shared" si="3"/>
        <v>4047.2709999999997</v>
      </c>
      <c r="AE24" s="22">
        <v>8</v>
      </c>
      <c r="AF24" s="25">
        <f t="shared" si="5"/>
        <v>3492.795</v>
      </c>
      <c r="AG24" s="25">
        <f t="shared" si="6"/>
        <v>290.999</v>
      </c>
      <c r="AH24" s="25">
        <f t="shared" si="7"/>
        <v>60.709</v>
      </c>
      <c r="AI24" s="25">
        <f t="shared" si="8"/>
        <v>202.768</v>
      </c>
      <c r="AJ24" s="22">
        <f t="shared" si="4"/>
        <v>0.6275909069763835</v>
      </c>
    </row>
    <row r="25" spans="1:36" s="12" customFormat="1" ht="11.25">
      <c r="A25" s="17">
        <v>14</v>
      </c>
      <c r="B25" s="18"/>
      <c r="C25" s="19" t="s">
        <v>50</v>
      </c>
      <c r="D25" s="17">
        <v>6</v>
      </c>
      <c r="E25" s="17" t="s">
        <v>42</v>
      </c>
      <c r="F25" s="17">
        <v>1985</v>
      </c>
      <c r="G25" s="20">
        <f>(2011-F25)/47.6*100</f>
        <v>54.621848739495796</v>
      </c>
      <c r="H25" s="17"/>
      <c r="I25" s="21">
        <f t="shared" si="0"/>
        <v>3583.4</v>
      </c>
      <c r="J25" s="17">
        <v>3248.1</v>
      </c>
      <c r="K25" s="17">
        <f>J25</f>
        <v>3248.1</v>
      </c>
      <c r="L25" s="17">
        <v>335.3</v>
      </c>
      <c r="M25" s="17">
        <v>137</v>
      </c>
      <c r="N25" s="22">
        <f t="shared" si="1"/>
        <v>3309.371</v>
      </c>
      <c r="O25" s="22">
        <f t="shared" si="2"/>
        <v>967.271</v>
      </c>
      <c r="P25" s="22">
        <v>110.871</v>
      </c>
      <c r="Q25" s="17"/>
      <c r="R25" s="36">
        <v>595.8</v>
      </c>
      <c r="S25" s="17"/>
      <c r="T25" s="23">
        <v>159.8</v>
      </c>
      <c r="U25" s="23">
        <v>100.8</v>
      </c>
      <c r="V25" s="24">
        <v>834.5</v>
      </c>
      <c r="W25" s="23">
        <v>978.1</v>
      </c>
      <c r="X25" s="17"/>
      <c r="Y25" s="17"/>
      <c r="Z25" s="17"/>
      <c r="AA25" s="17"/>
      <c r="AB25" s="24">
        <v>2694</v>
      </c>
      <c r="AC25" s="23">
        <v>1364</v>
      </c>
      <c r="AD25" s="22">
        <f t="shared" si="3"/>
        <v>3309.371</v>
      </c>
      <c r="AE25" s="22">
        <v>8</v>
      </c>
      <c r="AF25" s="25">
        <f t="shared" si="5"/>
        <v>2855.987</v>
      </c>
      <c r="AG25" s="25">
        <f t="shared" si="6"/>
        <v>237.944</v>
      </c>
      <c r="AH25" s="25">
        <f t="shared" si="7"/>
        <v>49.641</v>
      </c>
      <c r="AI25" s="25">
        <f t="shared" si="8"/>
        <v>165.799</v>
      </c>
      <c r="AJ25" s="22">
        <f t="shared" si="4"/>
        <v>1.018863643360734</v>
      </c>
    </row>
    <row r="26" spans="1:36" s="12" customFormat="1" ht="11.25">
      <c r="A26" s="33">
        <v>15</v>
      </c>
      <c r="B26" s="18"/>
      <c r="C26" s="34" t="s">
        <v>85</v>
      </c>
      <c r="D26" s="17">
        <v>18</v>
      </c>
      <c r="E26" s="17"/>
      <c r="F26" s="17">
        <v>1967</v>
      </c>
      <c r="G26" s="20">
        <v>80</v>
      </c>
      <c r="H26" s="17"/>
      <c r="I26" s="21">
        <f t="shared" si="0"/>
        <v>4122.6</v>
      </c>
      <c r="J26" s="17">
        <v>3759.5</v>
      </c>
      <c r="K26" s="17">
        <f>J26-129.7</f>
        <v>3629.8</v>
      </c>
      <c r="L26" s="17">
        <v>363.1</v>
      </c>
      <c r="M26" s="17">
        <v>158</v>
      </c>
      <c r="N26" s="22">
        <f t="shared" si="1"/>
        <v>3343.721</v>
      </c>
      <c r="O26" s="22">
        <f t="shared" si="2"/>
        <v>1134.821</v>
      </c>
      <c r="P26" s="22">
        <v>110.871</v>
      </c>
      <c r="Q26" s="17"/>
      <c r="R26" s="23">
        <v>760.7</v>
      </c>
      <c r="S26" s="17"/>
      <c r="T26" s="23">
        <v>164.5</v>
      </c>
      <c r="U26" s="23">
        <v>98.75</v>
      </c>
      <c r="V26" s="24">
        <v>1314.2</v>
      </c>
      <c r="W26" s="23">
        <v>1458.9</v>
      </c>
      <c r="X26" s="17"/>
      <c r="Y26" s="17"/>
      <c r="Z26" s="17"/>
      <c r="AA26" s="17"/>
      <c r="AB26" s="24">
        <v>3450</v>
      </c>
      <c r="AC26" s="23">
        <v>750</v>
      </c>
      <c r="AD26" s="22">
        <f t="shared" si="3"/>
        <v>3343.721</v>
      </c>
      <c r="AE26" s="22">
        <v>8</v>
      </c>
      <c r="AF26" s="25">
        <f t="shared" si="5"/>
        <v>2885.631</v>
      </c>
      <c r="AG26" s="25">
        <f t="shared" si="6"/>
        <v>240.414</v>
      </c>
      <c r="AH26" s="25">
        <f t="shared" si="7"/>
        <v>50.156</v>
      </c>
      <c r="AI26" s="25">
        <f t="shared" si="8"/>
        <v>167.52</v>
      </c>
      <c r="AJ26" s="22">
        <f t="shared" si="4"/>
        <v>0.8894057720441548</v>
      </c>
    </row>
    <row r="27" spans="1:36" s="12" customFormat="1" ht="11.25">
      <c r="A27" s="17">
        <v>16</v>
      </c>
      <c r="B27" s="18"/>
      <c r="C27" s="34" t="s">
        <v>85</v>
      </c>
      <c r="D27" s="17">
        <v>20</v>
      </c>
      <c r="E27" s="17"/>
      <c r="F27" s="17">
        <v>1959</v>
      </c>
      <c r="G27" s="20">
        <v>83</v>
      </c>
      <c r="H27" s="17"/>
      <c r="I27" s="21">
        <f t="shared" si="0"/>
        <v>1414.6</v>
      </c>
      <c r="J27" s="17">
        <v>1277.8</v>
      </c>
      <c r="K27" s="17">
        <f>J27</f>
        <v>1277.8</v>
      </c>
      <c r="L27" s="17">
        <v>136.8</v>
      </c>
      <c r="M27" s="17">
        <v>41</v>
      </c>
      <c r="N27" s="22">
        <f t="shared" si="1"/>
        <v>3504.2709999999997</v>
      </c>
      <c r="O27" s="22">
        <f t="shared" si="2"/>
        <v>888.271</v>
      </c>
      <c r="P27" s="22">
        <v>110.871</v>
      </c>
      <c r="Q27" s="17"/>
      <c r="R27" s="23">
        <v>539.2</v>
      </c>
      <c r="S27" s="17"/>
      <c r="T27" s="23">
        <v>138.4</v>
      </c>
      <c r="U27" s="23">
        <v>99.8</v>
      </c>
      <c r="V27" s="24">
        <v>820</v>
      </c>
      <c r="W27" s="23">
        <v>574</v>
      </c>
      <c r="X27" s="17"/>
      <c r="Y27" s="17"/>
      <c r="Z27" s="17"/>
      <c r="AA27" s="17"/>
      <c r="AB27" s="24">
        <v>1320</v>
      </c>
      <c r="AC27" s="23">
        <v>2042</v>
      </c>
      <c r="AD27" s="22">
        <f t="shared" si="3"/>
        <v>3504.2709999999997</v>
      </c>
      <c r="AE27" s="22">
        <v>8</v>
      </c>
      <c r="AF27" s="25">
        <f t="shared" si="5"/>
        <v>3024.186</v>
      </c>
      <c r="AG27" s="25">
        <f t="shared" si="6"/>
        <v>251.957</v>
      </c>
      <c r="AH27" s="25">
        <f t="shared" si="7"/>
        <v>52.564</v>
      </c>
      <c r="AI27" s="25">
        <f t="shared" si="8"/>
        <v>175.564</v>
      </c>
      <c r="AJ27" s="22">
        <f t="shared" si="4"/>
        <v>2.7424252621693537</v>
      </c>
    </row>
    <row r="28" spans="1:36" s="12" customFormat="1" ht="11.25">
      <c r="A28" s="33">
        <v>17</v>
      </c>
      <c r="B28" s="18"/>
      <c r="C28" s="34" t="s">
        <v>48</v>
      </c>
      <c r="D28" s="17">
        <v>31</v>
      </c>
      <c r="E28" s="17"/>
      <c r="F28" s="17">
        <v>1960</v>
      </c>
      <c r="G28" s="20">
        <v>82</v>
      </c>
      <c r="H28" s="17"/>
      <c r="I28" s="21">
        <f t="shared" si="0"/>
        <v>1463.9</v>
      </c>
      <c r="J28" s="17">
        <v>1354.4</v>
      </c>
      <c r="K28" s="17">
        <f>J28-40.8</f>
        <v>1313.6000000000001</v>
      </c>
      <c r="L28" s="17">
        <v>109.5</v>
      </c>
      <c r="M28" s="17">
        <v>52</v>
      </c>
      <c r="N28" s="22">
        <f t="shared" si="1"/>
        <v>2912.7110000000002</v>
      </c>
      <c r="O28" s="22">
        <f t="shared" si="2"/>
        <v>913.871</v>
      </c>
      <c r="P28" s="22">
        <v>110.871</v>
      </c>
      <c r="Q28" s="17"/>
      <c r="R28" s="23">
        <v>564.2</v>
      </c>
      <c r="S28" s="17"/>
      <c r="T28" s="23">
        <v>140.2</v>
      </c>
      <c r="U28" s="23">
        <v>98.6</v>
      </c>
      <c r="V28" s="24">
        <v>855.48</v>
      </c>
      <c r="W28" s="23">
        <v>598.84</v>
      </c>
      <c r="X28" s="17"/>
      <c r="Y28" s="17"/>
      <c r="Z28" s="17"/>
      <c r="AA28" s="17"/>
      <c r="AB28" s="24">
        <v>2150</v>
      </c>
      <c r="AC28" s="23">
        <v>1400</v>
      </c>
      <c r="AD28" s="22">
        <f t="shared" si="3"/>
        <v>2912.7110000000002</v>
      </c>
      <c r="AE28" s="22">
        <v>8</v>
      </c>
      <c r="AF28" s="25">
        <f t="shared" si="5"/>
        <v>2513.67</v>
      </c>
      <c r="AG28" s="25">
        <f t="shared" si="6"/>
        <v>209.424</v>
      </c>
      <c r="AH28" s="25">
        <f t="shared" si="7"/>
        <v>43.691</v>
      </c>
      <c r="AI28" s="25">
        <f t="shared" si="8"/>
        <v>145.927</v>
      </c>
      <c r="AJ28" s="22">
        <f t="shared" si="4"/>
        <v>2.1505544890726522</v>
      </c>
    </row>
    <row r="29" spans="1:36" s="12" customFormat="1" ht="11.25">
      <c r="A29" s="17">
        <v>18</v>
      </c>
      <c r="B29" s="18"/>
      <c r="C29" s="19" t="s">
        <v>50</v>
      </c>
      <c r="D29" s="17">
        <v>14</v>
      </c>
      <c r="E29" s="17"/>
      <c r="F29" s="17">
        <v>1962</v>
      </c>
      <c r="G29" s="20">
        <v>80</v>
      </c>
      <c r="H29" s="17"/>
      <c r="I29" s="21">
        <f t="shared" si="0"/>
        <v>1643.6999999999998</v>
      </c>
      <c r="J29" s="17">
        <v>1531.1</v>
      </c>
      <c r="K29" s="17">
        <f>J29</f>
        <v>1531.1</v>
      </c>
      <c r="L29" s="17">
        <v>112.6</v>
      </c>
      <c r="M29" s="17">
        <v>59</v>
      </c>
      <c r="N29" s="22">
        <f t="shared" si="1"/>
        <v>2116.791</v>
      </c>
      <c r="O29" s="22">
        <f t="shared" si="2"/>
        <v>841.191</v>
      </c>
      <c r="P29" s="22">
        <v>110.871</v>
      </c>
      <c r="Q29" s="17"/>
      <c r="R29" s="23">
        <v>540</v>
      </c>
      <c r="S29" s="17"/>
      <c r="T29" s="23">
        <v>80</v>
      </c>
      <c r="U29" s="23">
        <v>110.32</v>
      </c>
      <c r="V29" s="24">
        <v>697</v>
      </c>
      <c r="W29" s="23">
        <v>775.6</v>
      </c>
      <c r="X29" s="17"/>
      <c r="Y29" s="17"/>
      <c r="Z29" s="17"/>
      <c r="AA29" s="17"/>
      <c r="AB29" s="24">
        <v>1200</v>
      </c>
      <c r="AC29" s="23">
        <v>500</v>
      </c>
      <c r="AD29" s="22">
        <f t="shared" si="3"/>
        <v>2116.791</v>
      </c>
      <c r="AE29" s="22">
        <v>8</v>
      </c>
      <c r="AF29" s="25">
        <f t="shared" si="5"/>
        <v>1826.791</v>
      </c>
      <c r="AG29" s="25">
        <f t="shared" si="6"/>
        <v>152.197</v>
      </c>
      <c r="AH29" s="25">
        <f t="shared" si="7"/>
        <v>31.752</v>
      </c>
      <c r="AI29" s="25">
        <f t="shared" si="8"/>
        <v>106.051</v>
      </c>
      <c r="AJ29" s="22">
        <f t="shared" si="4"/>
        <v>1.3825295539154858</v>
      </c>
    </row>
    <row r="30" spans="1:36" s="12" customFormat="1" ht="11.25">
      <c r="A30" s="33">
        <v>19</v>
      </c>
      <c r="B30" s="18"/>
      <c r="C30" s="19" t="s">
        <v>50</v>
      </c>
      <c r="D30" s="17">
        <v>16</v>
      </c>
      <c r="E30" s="17"/>
      <c r="F30" s="17">
        <v>1964</v>
      </c>
      <c r="G30" s="20">
        <v>79</v>
      </c>
      <c r="H30" s="17"/>
      <c r="I30" s="21">
        <f t="shared" si="0"/>
        <v>1155.6000000000001</v>
      </c>
      <c r="J30" s="17">
        <v>1082.7</v>
      </c>
      <c r="K30" s="17">
        <f>J30</f>
        <v>1082.7</v>
      </c>
      <c r="L30" s="17">
        <v>72.9</v>
      </c>
      <c r="M30" s="17">
        <v>38</v>
      </c>
      <c r="N30" s="22">
        <f t="shared" si="1"/>
        <v>2283.7309999999998</v>
      </c>
      <c r="O30" s="22">
        <f t="shared" si="2"/>
        <v>818.1709999999999</v>
      </c>
      <c r="P30" s="22">
        <v>110.871</v>
      </c>
      <c r="Q30" s="17"/>
      <c r="R30" s="23">
        <v>529.25</v>
      </c>
      <c r="S30" s="17"/>
      <c r="T30" s="23">
        <v>110.15</v>
      </c>
      <c r="U30" s="23">
        <v>67.9</v>
      </c>
      <c r="V30" s="24">
        <v>619</v>
      </c>
      <c r="W30" s="23">
        <v>365.56</v>
      </c>
      <c r="X30" s="17"/>
      <c r="Y30" s="17"/>
      <c r="Z30" s="17"/>
      <c r="AA30" s="17"/>
      <c r="AB30" s="24">
        <v>635</v>
      </c>
      <c r="AC30" s="23">
        <v>1100</v>
      </c>
      <c r="AD30" s="22">
        <f t="shared" si="3"/>
        <v>2283.7309999999998</v>
      </c>
      <c r="AE30" s="22">
        <v>8</v>
      </c>
      <c r="AF30" s="25">
        <f t="shared" si="5"/>
        <v>1970.86</v>
      </c>
      <c r="AG30" s="25">
        <f t="shared" si="6"/>
        <v>164.2</v>
      </c>
      <c r="AH30" s="25">
        <f t="shared" si="7"/>
        <v>34.256</v>
      </c>
      <c r="AI30" s="25">
        <f t="shared" si="8"/>
        <v>114.415</v>
      </c>
      <c r="AJ30" s="22">
        <f t="shared" si="4"/>
        <v>2.109292509467073</v>
      </c>
    </row>
    <row r="31" spans="1:36" s="12" customFormat="1" ht="45">
      <c r="A31" s="17">
        <v>20</v>
      </c>
      <c r="B31" s="18"/>
      <c r="C31" s="19" t="s">
        <v>56</v>
      </c>
      <c r="D31" s="17">
        <v>12</v>
      </c>
      <c r="E31" s="17"/>
      <c r="F31" s="17">
        <v>1961</v>
      </c>
      <c r="G31" s="24">
        <v>75</v>
      </c>
      <c r="H31" s="17"/>
      <c r="I31" s="37">
        <f t="shared" si="0"/>
        <v>1086.1</v>
      </c>
      <c r="J31" s="24">
        <v>1013.3</v>
      </c>
      <c r="K31" s="24">
        <f>J31</f>
        <v>1013.3</v>
      </c>
      <c r="L31" s="24">
        <v>72.8</v>
      </c>
      <c r="M31" s="17">
        <v>45</v>
      </c>
      <c r="N31" s="23">
        <f t="shared" si="1"/>
        <v>2435.891</v>
      </c>
      <c r="O31" s="23">
        <f t="shared" si="2"/>
        <v>814.4710000000001</v>
      </c>
      <c r="P31" s="23">
        <v>110.871</v>
      </c>
      <c r="Q31" s="17"/>
      <c r="R31" s="23">
        <v>493.7</v>
      </c>
      <c r="S31" s="17"/>
      <c r="T31" s="23">
        <v>110.2</v>
      </c>
      <c r="U31" s="23">
        <v>99.7</v>
      </c>
      <c r="V31" s="24">
        <v>609.48</v>
      </c>
      <c r="W31" s="23">
        <v>110</v>
      </c>
      <c r="X31" s="17"/>
      <c r="Y31" s="17"/>
      <c r="Z31" s="17"/>
      <c r="AA31" s="17"/>
      <c r="AB31" s="24">
        <v>944.64</v>
      </c>
      <c r="AC31" s="23">
        <v>1511.42</v>
      </c>
      <c r="AD31" s="23">
        <f t="shared" si="3"/>
        <v>2435.891</v>
      </c>
      <c r="AE31" s="23">
        <v>8</v>
      </c>
      <c r="AF31" s="38">
        <f t="shared" si="5"/>
        <v>2102.174</v>
      </c>
      <c r="AG31" s="38">
        <f t="shared" si="6"/>
        <v>175.141</v>
      </c>
      <c r="AH31" s="38">
        <f t="shared" si="7"/>
        <v>36.538</v>
      </c>
      <c r="AI31" s="38">
        <f t="shared" si="8"/>
        <v>122.038</v>
      </c>
      <c r="AJ31" s="23">
        <f t="shared" si="4"/>
        <v>2.4039188789104906</v>
      </c>
    </row>
    <row r="32" spans="1:36" s="12" customFormat="1" ht="11.25">
      <c r="A32" s="33">
        <v>21</v>
      </c>
      <c r="B32" s="18"/>
      <c r="C32" s="19" t="s">
        <v>47</v>
      </c>
      <c r="D32" s="17">
        <v>32</v>
      </c>
      <c r="E32" s="17" t="s">
        <v>41</v>
      </c>
      <c r="F32" s="17">
        <v>1966</v>
      </c>
      <c r="G32" s="20">
        <v>74</v>
      </c>
      <c r="H32" s="17"/>
      <c r="I32" s="21">
        <f t="shared" si="0"/>
        <v>1181.3999999999999</v>
      </c>
      <c r="J32" s="24">
        <v>1107.6</v>
      </c>
      <c r="K32" s="24">
        <f>J32</f>
        <v>1107.6</v>
      </c>
      <c r="L32" s="24">
        <v>73.8</v>
      </c>
      <c r="M32" s="17">
        <v>59</v>
      </c>
      <c r="N32" s="22">
        <f t="shared" si="1"/>
        <v>3184.171</v>
      </c>
      <c r="O32" s="22">
        <f t="shared" si="2"/>
        <v>921.871</v>
      </c>
      <c r="P32" s="22">
        <v>110.871</v>
      </c>
      <c r="Q32" s="17"/>
      <c r="R32" s="23">
        <v>574</v>
      </c>
      <c r="S32" s="17"/>
      <c r="T32" s="23">
        <v>132</v>
      </c>
      <c r="U32" s="23">
        <v>105</v>
      </c>
      <c r="V32" s="24">
        <v>614</v>
      </c>
      <c r="W32" s="23">
        <v>512.3</v>
      </c>
      <c r="X32" s="17"/>
      <c r="Y32" s="17"/>
      <c r="Z32" s="17"/>
      <c r="AA32" s="17"/>
      <c r="AB32" s="24">
        <v>1043</v>
      </c>
      <c r="AC32" s="23">
        <v>1750</v>
      </c>
      <c r="AD32" s="22">
        <f t="shared" si="3"/>
        <v>3184.171</v>
      </c>
      <c r="AE32" s="22">
        <v>8</v>
      </c>
      <c r="AF32" s="25">
        <f t="shared" si="5"/>
        <v>2747.94</v>
      </c>
      <c r="AG32" s="25">
        <f t="shared" si="6"/>
        <v>228.942</v>
      </c>
      <c r="AH32" s="25">
        <f t="shared" si="7"/>
        <v>47.763</v>
      </c>
      <c r="AI32" s="25">
        <f t="shared" si="8"/>
        <v>159.527</v>
      </c>
      <c r="AJ32" s="22">
        <f t="shared" si="4"/>
        <v>2.8748383893102205</v>
      </c>
    </row>
    <row r="33" spans="1:36" s="12" customFormat="1" ht="11.25">
      <c r="A33" s="17">
        <v>22</v>
      </c>
      <c r="B33" s="18"/>
      <c r="C33" s="19" t="s">
        <v>51</v>
      </c>
      <c r="D33" s="17">
        <v>20</v>
      </c>
      <c r="E33" s="17" t="s">
        <v>42</v>
      </c>
      <c r="F33" s="17">
        <v>1985</v>
      </c>
      <c r="G33" s="20">
        <f>(2011-F33)/47.6*100</f>
        <v>54.621848739495796</v>
      </c>
      <c r="H33" s="17"/>
      <c r="I33" s="21">
        <f t="shared" si="0"/>
        <v>5312.5</v>
      </c>
      <c r="J33" s="24">
        <v>4819</v>
      </c>
      <c r="K33" s="24">
        <f>J33-64</f>
        <v>4755</v>
      </c>
      <c r="L33" s="24">
        <v>493.5</v>
      </c>
      <c r="M33" s="17">
        <v>236</v>
      </c>
      <c r="N33" s="22">
        <f t="shared" si="1"/>
        <v>4435.921</v>
      </c>
      <c r="O33" s="22">
        <f t="shared" si="2"/>
        <v>1140.521</v>
      </c>
      <c r="P33" s="22">
        <v>110.871</v>
      </c>
      <c r="Q33" s="17"/>
      <c r="R33" s="23">
        <v>760.1</v>
      </c>
      <c r="S33" s="17"/>
      <c r="T33" s="23">
        <v>180.35</v>
      </c>
      <c r="U33" s="23">
        <v>89.2</v>
      </c>
      <c r="V33" s="24">
        <v>1250.3</v>
      </c>
      <c r="W33" s="23">
        <v>1465.4</v>
      </c>
      <c r="X33" s="17"/>
      <c r="Y33" s="17"/>
      <c r="Z33" s="17"/>
      <c r="AA33" s="17"/>
      <c r="AB33" s="24">
        <v>4057.6</v>
      </c>
      <c r="AC33" s="23">
        <v>1830</v>
      </c>
      <c r="AD33" s="22">
        <f t="shared" si="3"/>
        <v>4435.921</v>
      </c>
      <c r="AE33" s="22">
        <v>8</v>
      </c>
      <c r="AF33" s="25">
        <f t="shared" si="5"/>
        <v>3828.2</v>
      </c>
      <c r="AG33" s="25">
        <f t="shared" si="6"/>
        <v>318.943</v>
      </c>
      <c r="AH33" s="25">
        <f t="shared" si="7"/>
        <v>66.539</v>
      </c>
      <c r="AI33" s="25">
        <f t="shared" si="8"/>
        <v>222.24</v>
      </c>
      <c r="AJ33" s="22">
        <f t="shared" si="4"/>
        <v>0.920506536625856</v>
      </c>
    </row>
    <row r="34" spans="1:36" s="40" customFormat="1" ht="11.25">
      <c r="A34" s="60" t="s">
        <v>78</v>
      </c>
      <c r="B34" s="60"/>
      <c r="C34" s="60"/>
      <c r="D34" s="60"/>
      <c r="E34" s="60"/>
      <c r="F34" s="60"/>
      <c r="G34" s="60"/>
      <c r="H34" s="60"/>
      <c r="I34" s="29">
        <f>SUM(I12:I33)</f>
        <v>68723.63999999998</v>
      </c>
      <c r="J34" s="29">
        <f>SUM(J12:J33)</f>
        <v>62651.840000000004</v>
      </c>
      <c r="K34" s="29">
        <f aca="true" t="shared" si="9" ref="K34:AI34">SUM(K12:K33)</f>
        <v>61217.44</v>
      </c>
      <c r="L34" s="29">
        <f t="shared" si="9"/>
        <v>6071.800000000001</v>
      </c>
      <c r="M34" s="39">
        <f t="shared" si="9"/>
        <v>2627</v>
      </c>
      <c r="N34" s="29">
        <f t="shared" si="9"/>
        <v>70415.311</v>
      </c>
      <c r="O34" s="29">
        <f t="shared" si="9"/>
        <v>20350.061999999998</v>
      </c>
      <c r="P34" s="29">
        <f t="shared" si="9"/>
        <v>2439.162000000001</v>
      </c>
      <c r="Q34" s="29">
        <f t="shared" si="9"/>
        <v>0</v>
      </c>
      <c r="R34" s="29">
        <f t="shared" si="9"/>
        <v>12781.670000000004</v>
      </c>
      <c r="S34" s="29">
        <f t="shared" si="9"/>
        <v>0</v>
      </c>
      <c r="T34" s="29">
        <f t="shared" si="9"/>
        <v>3044.2899999999995</v>
      </c>
      <c r="U34" s="29">
        <f t="shared" si="9"/>
        <v>2084.94</v>
      </c>
      <c r="V34" s="29">
        <f t="shared" si="9"/>
        <v>22564.92</v>
      </c>
      <c r="W34" s="29">
        <f t="shared" si="9"/>
        <v>21316.829</v>
      </c>
      <c r="X34" s="29">
        <f t="shared" si="9"/>
        <v>0</v>
      </c>
      <c r="Y34" s="29">
        <f t="shared" si="9"/>
        <v>0</v>
      </c>
      <c r="Z34" s="29">
        <f t="shared" si="9"/>
        <v>0</v>
      </c>
      <c r="AA34" s="29">
        <f t="shared" si="9"/>
        <v>0</v>
      </c>
      <c r="AB34" s="29">
        <f t="shared" si="9"/>
        <v>48784.84</v>
      </c>
      <c r="AC34" s="29">
        <f t="shared" si="9"/>
        <v>28748.42</v>
      </c>
      <c r="AD34" s="29">
        <f t="shared" si="9"/>
        <v>70415.311</v>
      </c>
      <c r="AE34" s="29">
        <f t="shared" si="9"/>
        <v>176</v>
      </c>
      <c r="AF34" s="29">
        <f t="shared" si="9"/>
        <v>60768.41499999999</v>
      </c>
      <c r="AG34" s="29">
        <f t="shared" si="9"/>
        <v>5062.861999999999</v>
      </c>
      <c r="AH34" s="29">
        <f t="shared" si="9"/>
        <v>1056.232</v>
      </c>
      <c r="AI34" s="29">
        <f t="shared" si="9"/>
        <v>3527.8049999999994</v>
      </c>
      <c r="AJ34" s="29"/>
    </row>
  </sheetData>
  <sheetProtection/>
  <mergeCells count="36">
    <mergeCell ref="A6:A10"/>
    <mergeCell ref="B6:E6"/>
    <mergeCell ref="F6:H6"/>
    <mergeCell ref="I6:I9"/>
    <mergeCell ref="J6:K7"/>
    <mergeCell ref="L6:L9"/>
    <mergeCell ref="J8:J9"/>
    <mergeCell ref="K8:K9"/>
    <mergeCell ref="AF6:AI7"/>
    <mergeCell ref="V7:W9"/>
    <mergeCell ref="X7:Y9"/>
    <mergeCell ref="Z7:AA9"/>
    <mergeCell ref="AB7:AC9"/>
    <mergeCell ref="AH8:AH9"/>
    <mergeCell ref="AI8:AI9"/>
    <mergeCell ref="O6:AC6"/>
    <mergeCell ref="AJ6:AJ9"/>
    <mergeCell ref="B7:B10"/>
    <mergeCell ref="C7:C10"/>
    <mergeCell ref="D7:D10"/>
    <mergeCell ref="E7:E10"/>
    <mergeCell ref="F7:F10"/>
    <mergeCell ref="G7:G10"/>
    <mergeCell ref="H7:H10"/>
    <mergeCell ref="AD6:AD9"/>
    <mergeCell ref="AE6:AE9"/>
    <mergeCell ref="AD2:AJ2"/>
    <mergeCell ref="A34:H34"/>
    <mergeCell ref="C3:W3"/>
    <mergeCell ref="O8:O9"/>
    <mergeCell ref="P8:U8"/>
    <mergeCell ref="AF8:AF9"/>
    <mergeCell ref="AG8:AG9"/>
    <mergeCell ref="O7:U7"/>
    <mergeCell ref="M6:M9"/>
    <mergeCell ref="N6:N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6"/>
  <sheetViews>
    <sheetView zoomScalePageLayoutView="0" workbookViewId="0" topLeftCell="A1">
      <selection activeCell="P8" sqref="P8:U8"/>
    </sheetView>
  </sheetViews>
  <sheetFormatPr defaultColWidth="9.140625" defaultRowHeight="15"/>
  <cols>
    <col min="1" max="1" width="2.7109375" style="11" customWidth="1"/>
    <col min="2" max="2" width="1.8515625" style="11" customWidth="1"/>
    <col min="3" max="3" width="15.57421875" style="11" customWidth="1"/>
    <col min="4" max="5" width="3.57421875" style="11" customWidth="1"/>
    <col min="6" max="6" width="4.421875" style="11" customWidth="1"/>
    <col min="7" max="7" width="4.8515625" style="11" hidden="1" customWidth="1"/>
    <col min="8" max="8" width="1.8515625" style="11" hidden="1" customWidth="1"/>
    <col min="9" max="9" width="6.57421875" style="11" customWidth="1"/>
    <col min="10" max="11" width="6.57421875" style="11" hidden="1" customWidth="1"/>
    <col min="12" max="12" width="5.7109375" style="11" hidden="1" customWidth="1"/>
    <col min="13" max="13" width="5.7109375" style="11" customWidth="1"/>
    <col min="14" max="15" width="7.421875" style="11" customWidth="1"/>
    <col min="16" max="16" width="7.28125" style="11" customWidth="1"/>
    <col min="17" max="17" width="4.00390625" style="11" hidden="1" customWidth="1"/>
    <col min="18" max="18" width="7.28125" style="11" customWidth="1"/>
    <col min="19" max="19" width="7.28125" style="11" hidden="1" customWidth="1"/>
    <col min="20" max="21" width="7.28125" style="11" customWidth="1"/>
    <col min="22" max="22" width="6.57421875" style="11" customWidth="1"/>
    <col min="23" max="23" width="7.421875" style="11" customWidth="1"/>
    <col min="24" max="24" width="3.140625" style="11" hidden="1" customWidth="1"/>
    <col min="25" max="25" width="7.28125" style="11" hidden="1" customWidth="1"/>
    <col min="26" max="26" width="4.28125" style="11" hidden="1" customWidth="1"/>
    <col min="27" max="27" width="7.28125" style="11" hidden="1" customWidth="1"/>
    <col min="28" max="28" width="6.57421875" style="11" customWidth="1"/>
    <col min="29" max="30" width="7.421875" style="11" customWidth="1"/>
    <col min="31" max="31" width="7.28125" style="11" hidden="1" customWidth="1"/>
    <col min="32" max="32" width="7.421875" style="11" customWidth="1"/>
    <col min="33" max="35" width="7.28125" style="11" customWidth="1"/>
    <col min="36" max="36" width="5.57421875" style="11" customWidth="1"/>
    <col min="37" max="16384" width="9.140625" style="11" customWidth="1"/>
  </cols>
  <sheetData>
    <row r="1" s="9" customFormat="1" ht="12" customHeight="1">
      <c r="AH1" s="10" t="s">
        <v>79</v>
      </c>
    </row>
    <row r="2" spans="30:36" s="9" customFormat="1" ht="38.25" customHeight="1">
      <c r="AD2" s="59" t="s">
        <v>119</v>
      </c>
      <c r="AE2" s="59"/>
      <c r="AF2" s="59"/>
      <c r="AG2" s="59"/>
      <c r="AH2" s="59"/>
      <c r="AI2" s="59"/>
      <c r="AJ2" s="59"/>
    </row>
    <row r="3" spans="3:23" s="32" customFormat="1" ht="11.25" customHeight="1">
      <c r="C3" s="61" t="s">
        <v>80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6" spans="1:36" s="12" customFormat="1" ht="11.25">
      <c r="A6" s="63" t="s">
        <v>36</v>
      </c>
      <c r="B6" s="63" t="s">
        <v>37</v>
      </c>
      <c r="C6" s="63"/>
      <c r="D6" s="63"/>
      <c r="E6" s="63"/>
      <c r="F6" s="68" t="s">
        <v>2</v>
      </c>
      <c r="G6" s="68"/>
      <c r="H6" s="68"/>
      <c r="I6" s="62" t="s">
        <v>3</v>
      </c>
      <c r="J6" s="63" t="s">
        <v>4</v>
      </c>
      <c r="K6" s="63"/>
      <c r="L6" s="65" t="s">
        <v>57</v>
      </c>
      <c r="M6" s="62" t="s">
        <v>5</v>
      </c>
      <c r="N6" s="62" t="s">
        <v>6</v>
      </c>
      <c r="O6" s="63" t="s">
        <v>7</v>
      </c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2" t="s">
        <v>110</v>
      </c>
      <c r="AE6" s="62" t="s">
        <v>8</v>
      </c>
      <c r="AF6" s="63" t="s">
        <v>9</v>
      </c>
      <c r="AG6" s="63"/>
      <c r="AH6" s="63"/>
      <c r="AI6" s="63"/>
      <c r="AJ6" s="62" t="s">
        <v>39</v>
      </c>
    </row>
    <row r="7" spans="1:36" s="12" customFormat="1" ht="11.25">
      <c r="A7" s="63"/>
      <c r="B7" s="71" t="s">
        <v>38</v>
      </c>
      <c r="C7" s="64" t="s">
        <v>10</v>
      </c>
      <c r="D7" s="64" t="s">
        <v>11</v>
      </c>
      <c r="E7" s="64" t="s">
        <v>12</v>
      </c>
      <c r="F7" s="62" t="s">
        <v>13</v>
      </c>
      <c r="G7" s="65" t="s">
        <v>58</v>
      </c>
      <c r="H7" s="62" t="s">
        <v>14</v>
      </c>
      <c r="I7" s="62"/>
      <c r="J7" s="63"/>
      <c r="K7" s="63"/>
      <c r="L7" s="66"/>
      <c r="M7" s="62"/>
      <c r="N7" s="62"/>
      <c r="O7" s="63" t="s">
        <v>15</v>
      </c>
      <c r="P7" s="63"/>
      <c r="Q7" s="63"/>
      <c r="R7" s="63"/>
      <c r="S7" s="63"/>
      <c r="T7" s="63"/>
      <c r="U7" s="63"/>
      <c r="V7" s="62" t="s">
        <v>16</v>
      </c>
      <c r="W7" s="62"/>
      <c r="X7" s="62" t="s">
        <v>17</v>
      </c>
      <c r="Y7" s="62"/>
      <c r="Z7" s="62" t="s">
        <v>18</v>
      </c>
      <c r="AA7" s="62"/>
      <c r="AB7" s="62" t="s">
        <v>19</v>
      </c>
      <c r="AC7" s="62"/>
      <c r="AD7" s="62"/>
      <c r="AE7" s="62"/>
      <c r="AF7" s="63"/>
      <c r="AG7" s="63"/>
      <c r="AH7" s="63"/>
      <c r="AI7" s="63"/>
      <c r="AJ7" s="62"/>
    </row>
    <row r="8" spans="1:36" s="12" customFormat="1" ht="11.25">
      <c r="A8" s="63"/>
      <c r="B8" s="72"/>
      <c r="C8" s="64"/>
      <c r="D8" s="64"/>
      <c r="E8" s="64"/>
      <c r="F8" s="62"/>
      <c r="G8" s="66"/>
      <c r="H8" s="62"/>
      <c r="I8" s="62"/>
      <c r="J8" s="62" t="s">
        <v>20</v>
      </c>
      <c r="K8" s="62" t="s">
        <v>21</v>
      </c>
      <c r="L8" s="66"/>
      <c r="M8" s="62"/>
      <c r="N8" s="62"/>
      <c r="O8" s="62" t="s">
        <v>22</v>
      </c>
      <c r="P8" s="63" t="s">
        <v>23</v>
      </c>
      <c r="Q8" s="63"/>
      <c r="R8" s="63"/>
      <c r="S8" s="63"/>
      <c r="T8" s="63"/>
      <c r="U8" s="63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 t="s">
        <v>24</v>
      </c>
      <c r="AG8" s="62" t="s">
        <v>25</v>
      </c>
      <c r="AH8" s="62" t="s">
        <v>26</v>
      </c>
      <c r="AI8" s="62" t="s">
        <v>27</v>
      </c>
      <c r="AJ8" s="62"/>
    </row>
    <row r="9" spans="1:36" s="12" customFormat="1" ht="124.5">
      <c r="A9" s="63"/>
      <c r="B9" s="72"/>
      <c r="C9" s="64"/>
      <c r="D9" s="64"/>
      <c r="E9" s="64"/>
      <c r="F9" s="62"/>
      <c r="G9" s="66"/>
      <c r="H9" s="62"/>
      <c r="I9" s="62"/>
      <c r="J9" s="62"/>
      <c r="K9" s="62"/>
      <c r="L9" s="67"/>
      <c r="M9" s="62"/>
      <c r="N9" s="62"/>
      <c r="O9" s="62"/>
      <c r="P9" s="13" t="s">
        <v>28</v>
      </c>
      <c r="Q9" s="13" t="s">
        <v>29</v>
      </c>
      <c r="R9" s="13" t="s">
        <v>30</v>
      </c>
      <c r="S9" s="13" t="s">
        <v>31</v>
      </c>
      <c r="T9" s="13" t="s">
        <v>32</v>
      </c>
      <c r="U9" s="13" t="s">
        <v>33</v>
      </c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</row>
    <row r="10" spans="1:36" s="12" customFormat="1" ht="22.5">
      <c r="A10" s="63"/>
      <c r="B10" s="73"/>
      <c r="C10" s="64"/>
      <c r="D10" s="64"/>
      <c r="E10" s="64"/>
      <c r="F10" s="62"/>
      <c r="G10" s="67"/>
      <c r="H10" s="62"/>
      <c r="I10" s="14" t="s">
        <v>0</v>
      </c>
      <c r="J10" s="14" t="s">
        <v>0</v>
      </c>
      <c r="K10" s="14" t="s">
        <v>0</v>
      </c>
      <c r="L10" s="14" t="s">
        <v>0</v>
      </c>
      <c r="M10" s="14" t="s">
        <v>1</v>
      </c>
      <c r="N10" s="14" t="s">
        <v>40</v>
      </c>
      <c r="O10" s="14" t="s">
        <v>40</v>
      </c>
      <c r="P10" s="14" t="s">
        <v>40</v>
      </c>
      <c r="Q10" s="14" t="s">
        <v>40</v>
      </c>
      <c r="R10" s="14" t="s">
        <v>40</v>
      </c>
      <c r="S10" s="14" t="s">
        <v>40</v>
      </c>
      <c r="T10" s="14" t="s">
        <v>40</v>
      </c>
      <c r="U10" s="14" t="s">
        <v>40</v>
      </c>
      <c r="V10" s="14" t="s">
        <v>0</v>
      </c>
      <c r="W10" s="14" t="s">
        <v>40</v>
      </c>
      <c r="X10" s="14" t="s">
        <v>34</v>
      </c>
      <c r="Y10" s="14" t="s">
        <v>40</v>
      </c>
      <c r="Z10" s="14" t="s">
        <v>0</v>
      </c>
      <c r="AA10" s="14" t="s">
        <v>40</v>
      </c>
      <c r="AB10" s="14" t="s">
        <v>0</v>
      </c>
      <c r="AC10" s="14" t="s">
        <v>40</v>
      </c>
      <c r="AD10" s="14" t="s">
        <v>40</v>
      </c>
      <c r="AE10" s="14" t="s">
        <v>40</v>
      </c>
      <c r="AF10" s="14" t="s">
        <v>40</v>
      </c>
      <c r="AG10" s="14" t="s">
        <v>40</v>
      </c>
      <c r="AH10" s="14" t="s">
        <v>40</v>
      </c>
      <c r="AI10" s="14" t="s">
        <v>40</v>
      </c>
      <c r="AJ10" s="14" t="s">
        <v>35</v>
      </c>
    </row>
    <row r="11" spans="1:36" s="12" customFormat="1" ht="11.25">
      <c r="A11" s="14">
        <v>1</v>
      </c>
      <c r="B11" s="15">
        <v>2</v>
      </c>
      <c r="C11" s="16">
        <v>2</v>
      </c>
      <c r="D11" s="16">
        <v>3</v>
      </c>
      <c r="E11" s="16">
        <v>4</v>
      </c>
      <c r="F11" s="16">
        <v>5</v>
      </c>
      <c r="G11" s="16"/>
      <c r="H11" s="16">
        <v>7</v>
      </c>
      <c r="I11" s="16">
        <v>6</v>
      </c>
      <c r="J11" s="16">
        <v>9</v>
      </c>
      <c r="K11" s="16">
        <v>10</v>
      </c>
      <c r="L11" s="16"/>
      <c r="M11" s="16">
        <v>7</v>
      </c>
      <c r="N11" s="16">
        <v>8</v>
      </c>
      <c r="O11" s="16">
        <v>9</v>
      </c>
      <c r="P11" s="16">
        <v>10</v>
      </c>
      <c r="Q11" s="16">
        <v>15</v>
      </c>
      <c r="R11" s="16">
        <v>11</v>
      </c>
      <c r="S11" s="16">
        <v>17</v>
      </c>
      <c r="T11" s="16">
        <v>12</v>
      </c>
      <c r="U11" s="16">
        <v>13</v>
      </c>
      <c r="V11" s="16">
        <v>14</v>
      </c>
      <c r="W11" s="16">
        <v>15</v>
      </c>
      <c r="X11" s="16">
        <v>22</v>
      </c>
      <c r="Y11" s="16">
        <v>23</v>
      </c>
      <c r="Z11" s="16">
        <v>24</v>
      </c>
      <c r="AA11" s="16">
        <v>25</v>
      </c>
      <c r="AB11" s="16">
        <v>16</v>
      </c>
      <c r="AC11" s="16">
        <v>17</v>
      </c>
      <c r="AD11" s="16">
        <v>18</v>
      </c>
      <c r="AE11" s="16">
        <v>29</v>
      </c>
      <c r="AF11" s="16">
        <v>19</v>
      </c>
      <c r="AG11" s="16">
        <v>20</v>
      </c>
      <c r="AH11" s="16">
        <v>21</v>
      </c>
      <c r="AI11" s="16">
        <v>22</v>
      </c>
      <c r="AJ11" s="16">
        <v>23</v>
      </c>
    </row>
    <row r="12" spans="1:36" s="12" customFormat="1" ht="11.25">
      <c r="A12" s="33">
        <v>1</v>
      </c>
      <c r="B12" s="18"/>
      <c r="C12" s="19" t="s">
        <v>50</v>
      </c>
      <c r="D12" s="17">
        <v>11</v>
      </c>
      <c r="E12" s="17"/>
      <c r="F12" s="17">
        <v>1970</v>
      </c>
      <c r="G12" s="20">
        <f aca="true" t="shared" si="0" ref="G12:G33">(2011-F12)/47.6*100</f>
        <v>86.1344537815126</v>
      </c>
      <c r="H12" s="17"/>
      <c r="I12" s="21">
        <f aca="true" t="shared" si="1" ref="I12:I33">J12+L12</f>
        <v>4729.2</v>
      </c>
      <c r="J12" s="24">
        <v>4315.9</v>
      </c>
      <c r="K12" s="24">
        <f>J12-265.6</f>
        <v>4050.2999999999997</v>
      </c>
      <c r="L12" s="24">
        <v>413.3</v>
      </c>
      <c r="M12" s="17">
        <v>192</v>
      </c>
      <c r="N12" s="22">
        <f aca="true" t="shared" si="2" ref="N12:N33">AD12</f>
        <v>3394.6409999999996</v>
      </c>
      <c r="O12" s="22">
        <f aca="true" t="shared" si="3" ref="O12:O33">P12+R12+T12+U12</f>
        <v>1274.6409999999998</v>
      </c>
      <c r="P12" s="22">
        <v>110.871</v>
      </c>
      <c r="Q12" s="17"/>
      <c r="R12" s="23">
        <v>880.91</v>
      </c>
      <c r="S12" s="17"/>
      <c r="T12" s="23">
        <v>184.56</v>
      </c>
      <c r="U12" s="23">
        <v>98.3</v>
      </c>
      <c r="V12" s="24">
        <v>0</v>
      </c>
      <c r="W12" s="23">
        <v>0</v>
      </c>
      <c r="X12" s="17"/>
      <c r="Y12" s="17"/>
      <c r="Z12" s="17"/>
      <c r="AA12" s="17"/>
      <c r="AB12" s="24">
        <v>2832</v>
      </c>
      <c r="AC12" s="23">
        <v>2120</v>
      </c>
      <c r="AD12" s="22">
        <f aca="true" t="shared" si="4" ref="AD12:AD33">O12+W12+AC12</f>
        <v>3394.6409999999996</v>
      </c>
      <c r="AE12" s="22">
        <v>8</v>
      </c>
      <c r="AF12" s="25">
        <f aca="true" t="shared" si="5" ref="AF12:AF25">ROUND(AD12*86.3%,3)</f>
        <v>2929.575</v>
      </c>
      <c r="AG12" s="25">
        <f aca="true" t="shared" si="6" ref="AG12:AG25">ROUND(AD12*7.19%,3)</f>
        <v>244.075</v>
      </c>
      <c r="AH12" s="25">
        <f aca="true" t="shared" si="7" ref="AH12:AH25">ROUND(AD12*1.5%,3)</f>
        <v>50.92</v>
      </c>
      <c r="AI12" s="25">
        <f aca="true" t="shared" si="8" ref="AI12:AI25">ROUND(AD12*5.01%,3)</f>
        <v>170.072</v>
      </c>
      <c r="AJ12" s="22">
        <f aca="true" t="shared" si="9" ref="AJ12:AJ35">AD12/J12</f>
        <v>0.7865430153618017</v>
      </c>
    </row>
    <row r="13" spans="1:36" s="12" customFormat="1" ht="11.25">
      <c r="A13" s="17">
        <v>2</v>
      </c>
      <c r="B13" s="18"/>
      <c r="C13" s="19" t="s">
        <v>50</v>
      </c>
      <c r="D13" s="17">
        <v>19</v>
      </c>
      <c r="E13" s="17"/>
      <c r="F13" s="17">
        <v>1970</v>
      </c>
      <c r="G13" s="20">
        <f t="shared" si="0"/>
        <v>86.1344537815126</v>
      </c>
      <c r="H13" s="17"/>
      <c r="I13" s="21">
        <f t="shared" si="1"/>
        <v>3081.4</v>
      </c>
      <c r="J13" s="24">
        <v>2768</v>
      </c>
      <c r="K13" s="24">
        <f>J13-103.66</f>
        <v>2664.34</v>
      </c>
      <c r="L13" s="24">
        <v>313.4</v>
      </c>
      <c r="M13" s="17">
        <v>139</v>
      </c>
      <c r="N13" s="22">
        <f t="shared" si="2"/>
        <v>3004.1710000000003</v>
      </c>
      <c r="O13" s="22">
        <f t="shared" si="3"/>
        <v>987.2710000000001</v>
      </c>
      <c r="P13" s="22">
        <v>110.871</v>
      </c>
      <c r="Q13" s="17"/>
      <c r="R13" s="23">
        <v>596.02</v>
      </c>
      <c r="S13" s="17"/>
      <c r="T13" s="23">
        <v>170.3</v>
      </c>
      <c r="U13" s="23">
        <v>110.08</v>
      </c>
      <c r="V13" s="24">
        <v>729.7</v>
      </c>
      <c r="W13" s="23">
        <v>809.9</v>
      </c>
      <c r="X13" s="17"/>
      <c r="Y13" s="17"/>
      <c r="Z13" s="17"/>
      <c r="AA13" s="17"/>
      <c r="AB13" s="24">
        <v>2148</v>
      </c>
      <c r="AC13" s="23">
        <v>1207</v>
      </c>
      <c r="AD13" s="22">
        <f t="shared" si="4"/>
        <v>3004.1710000000003</v>
      </c>
      <c r="AE13" s="22">
        <v>8</v>
      </c>
      <c r="AF13" s="25">
        <f t="shared" si="5"/>
        <v>2592.6</v>
      </c>
      <c r="AG13" s="25">
        <f t="shared" si="6"/>
        <v>216</v>
      </c>
      <c r="AH13" s="25">
        <f t="shared" si="7"/>
        <v>45.063</v>
      </c>
      <c r="AI13" s="25">
        <f t="shared" si="8"/>
        <v>150.509</v>
      </c>
      <c r="AJ13" s="22">
        <f t="shared" si="9"/>
        <v>1.085321893063584</v>
      </c>
    </row>
    <row r="14" spans="1:36" s="12" customFormat="1" ht="11.25">
      <c r="A14" s="33">
        <v>3</v>
      </c>
      <c r="B14" s="18"/>
      <c r="C14" s="34" t="s">
        <v>48</v>
      </c>
      <c r="D14" s="17">
        <v>23</v>
      </c>
      <c r="E14" s="17"/>
      <c r="F14" s="17">
        <v>1957</v>
      </c>
      <c r="G14" s="20">
        <v>85</v>
      </c>
      <c r="H14" s="17"/>
      <c r="I14" s="21">
        <f t="shared" si="1"/>
        <v>3779.7999999999997</v>
      </c>
      <c r="J14" s="24">
        <v>3344.6</v>
      </c>
      <c r="K14" s="24">
        <f>J14</f>
        <v>3344.6</v>
      </c>
      <c r="L14" s="24">
        <v>435.2</v>
      </c>
      <c r="M14" s="17">
        <v>90</v>
      </c>
      <c r="N14" s="22">
        <f t="shared" si="2"/>
        <v>5632.331</v>
      </c>
      <c r="O14" s="22">
        <f t="shared" si="3"/>
        <v>1283.071</v>
      </c>
      <c r="P14" s="22">
        <v>110.871</v>
      </c>
      <c r="Q14" s="17"/>
      <c r="R14" s="23">
        <v>828.9</v>
      </c>
      <c r="S14" s="17"/>
      <c r="T14" s="23">
        <v>187.3</v>
      </c>
      <c r="U14" s="23">
        <v>156</v>
      </c>
      <c r="V14" s="24">
        <v>2341.8</v>
      </c>
      <c r="W14" s="23">
        <v>1639.26</v>
      </c>
      <c r="X14" s="17"/>
      <c r="Y14" s="17"/>
      <c r="Z14" s="17"/>
      <c r="AA14" s="17"/>
      <c r="AB14" s="24">
        <v>3700</v>
      </c>
      <c r="AC14" s="23">
        <v>2710</v>
      </c>
      <c r="AD14" s="22">
        <f t="shared" si="4"/>
        <v>5632.331</v>
      </c>
      <c r="AE14" s="22">
        <v>8</v>
      </c>
      <c r="AF14" s="25">
        <f t="shared" si="5"/>
        <v>4860.702</v>
      </c>
      <c r="AG14" s="25">
        <f t="shared" si="6"/>
        <v>404.965</v>
      </c>
      <c r="AH14" s="25">
        <f t="shared" si="7"/>
        <v>84.485</v>
      </c>
      <c r="AI14" s="25">
        <f t="shared" si="8"/>
        <v>282.18</v>
      </c>
      <c r="AJ14" s="22">
        <f t="shared" si="9"/>
        <v>1.6840073551396282</v>
      </c>
    </row>
    <row r="15" spans="1:36" s="12" customFormat="1" ht="11.25">
      <c r="A15" s="17">
        <v>4</v>
      </c>
      <c r="B15" s="18"/>
      <c r="C15" s="19" t="s">
        <v>49</v>
      </c>
      <c r="D15" s="17">
        <v>28</v>
      </c>
      <c r="E15" s="17"/>
      <c r="F15" s="17">
        <v>1955</v>
      </c>
      <c r="G15" s="20">
        <v>87</v>
      </c>
      <c r="H15" s="17"/>
      <c r="I15" s="21">
        <f t="shared" si="1"/>
        <v>1168.8</v>
      </c>
      <c r="J15" s="24">
        <v>1168.8</v>
      </c>
      <c r="K15" s="24">
        <f>J15-49.5</f>
        <v>1119.3</v>
      </c>
      <c r="L15" s="24"/>
      <c r="M15" s="17">
        <v>45</v>
      </c>
      <c r="N15" s="22">
        <f t="shared" si="2"/>
        <v>2840.7909999999997</v>
      </c>
      <c r="O15" s="22">
        <f t="shared" si="3"/>
        <v>917.8709999999999</v>
      </c>
      <c r="P15" s="22">
        <v>110.871</v>
      </c>
      <c r="Q15" s="17"/>
      <c r="R15" s="23">
        <v>565</v>
      </c>
      <c r="S15" s="17"/>
      <c r="T15" s="23">
        <v>140.2</v>
      </c>
      <c r="U15" s="23">
        <v>101.8</v>
      </c>
      <c r="V15" s="24">
        <v>975.6</v>
      </c>
      <c r="W15" s="23">
        <v>682.92</v>
      </c>
      <c r="X15" s="17"/>
      <c r="Y15" s="17"/>
      <c r="Z15" s="17"/>
      <c r="AA15" s="17"/>
      <c r="AB15" s="24">
        <v>1980</v>
      </c>
      <c r="AC15" s="23">
        <v>1240</v>
      </c>
      <c r="AD15" s="22">
        <f t="shared" si="4"/>
        <v>2840.7909999999997</v>
      </c>
      <c r="AE15" s="22">
        <v>8</v>
      </c>
      <c r="AF15" s="25">
        <f t="shared" si="5"/>
        <v>2451.603</v>
      </c>
      <c r="AG15" s="25">
        <f t="shared" si="6"/>
        <v>204.253</v>
      </c>
      <c r="AH15" s="25">
        <f t="shared" si="7"/>
        <v>42.612</v>
      </c>
      <c r="AI15" s="25">
        <f t="shared" si="8"/>
        <v>142.324</v>
      </c>
      <c r="AJ15" s="22">
        <f t="shared" si="9"/>
        <v>2.430519336071184</v>
      </c>
    </row>
    <row r="16" spans="1:36" s="12" customFormat="1" ht="11.25">
      <c r="A16" s="33">
        <v>5</v>
      </c>
      <c r="B16" s="18"/>
      <c r="C16" s="19" t="s">
        <v>51</v>
      </c>
      <c r="D16" s="17">
        <v>14</v>
      </c>
      <c r="E16" s="17"/>
      <c r="F16" s="17">
        <v>1972</v>
      </c>
      <c r="G16" s="20">
        <f t="shared" si="0"/>
        <v>81.9327731092437</v>
      </c>
      <c r="H16" s="17"/>
      <c r="I16" s="21">
        <f t="shared" si="1"/>
        <v>3643.2000000000003</v>
      </c>
      <c r="J16" s="24">
        <v>3371.9</v>
      </c>
      <c r="K16" s="24">
        <f>J16-173.5</f>
        <v>3198.4</v>
      </c>
      <c r="L16" s="24">
        <v>271.3</v>
      </c>
      <c r="M16" s="17">
        <v>148</v>
      </c>
      <c r="N16" s="22">
        <f t="shared" si="2"/>
        <v>2488.571</v>
      </c>
      <c r="O16" s="22">
        <f t="shared" si="3"/>
        <v>799.971</v>
      </c>
      <c r="P16" s="22">
        <v>110.871</v>
      </c>
      <c r="Q16" s="17"/>
      <c r="R16" s="23">
        <v>450.7</v>
      </c>
      <c r="S16" s="17"/>
      <c r="T16" s="23">
        <v>139.5</v>
      </c>
      <c r="U16" s="23">
        <v>98.9</v>
      </c>
      <c r="V16" s="24">
        <v>917.6</v>
      </c>
      <c r="W16" s="23">
        <v>1018.6</v>
      </c>
      <c r="X16" s="17"/>
      <c r="Y16" s="17"/>
      <c r="Z16" s="17"/>
      <c r="AA16" s="17"/>
      <c r="AB16" s="24">
        <v>2379</v>
      </c>
      <c r="AC16" s="23">
        <v>670</v>
      </c>
      <c r="AD16" s="22">
        <f t="shared" si="4"/>
        <v>2488.571</v>
      </c>
      <c r="AE16" s="22">
        <v>8</v>
      </c>
      <c r="AF16" s="25">
        <f t="shared" si="5"/>
        <v>2147.637</v>
      </c>
      <c r="AG16" s="25">
        <f t="shared" si="6"/>
        <v>178.928</v>
      </c>
      <c r="AH16" s="25">
        <f t="shared" si="7"/>
        <v>37.329</v>
      </c>
      <c r="AI16" s="25">
        <f t="shared" si="8"/>
        <v>124.677</v>
      </c>
      <c r="AJ16" s="22">
        <f t="shared" si="9"/>
        <v>0.7380322666745751</v>
      </c>
    </row>
    <row r="17" spans="1:36" s="12" customFormat="1" ht="11.25">
      <c r="A17" s="17">
        <v>6</v>
      </c>
      <c r="B17" s="18"/>
      <c r="C17" s="19" t="s">
        <v>51</v>
      </c>
      <c r="D17" s="17">
        <v>14</v>
      </c>
      <c r="E17" s="17" t="s">
        <v>41</v>
      </c>
      <c r="F17" s="17">
        <v>1974</v>
      </c>
      <c r="G17" s="20">
        <f t="shared" si="0"/>
        <v>77.73109243697479</v>
      </c>
      <c r="H17" s="17"/>
      <c r="I17" s="21">
        <f t="shared" si="1"/>
        <v>3169.8</v>
      </c>
      <c r="J17" s="24">
        <v>2870.3</v>
      </c>
      <c r="K17" s="24">
        <f>J17-299.47</f>
        <v>2570.83</v>
      </c>
      <c r="L17" s="24">
        <v>299.5</v>
      </c>
      <c r="M17" s="17">
        <v>134</v>
      </c>
      <c r="N17" s="22">
        <f t="shared" si="2"/>
        <v>2340.071</v>
      </c>
      <c r="O17" s="22">
        <f t="shared" si="3"/>
        <v>804.0709999999999</v>
      </c>
      <c r="P17" s="22">
        <v>110.871</v>
      </c>
      <c r="Q17" s="17"/>
      <c r="R17" s="23">
        <v>450.9</v>
      </c>
      <c r="S17" s="17"/>
      <c r="T17" s="23">
        <v>140.8</v>
      </c>
      <c r="U17" s="23">
        <v>101.5</v>
      </c>
      <c r="V17" s="24">
        <v>810</v>
      </c>
      <c r="W17" s="23">
        <v>900</v>
      </c>
      <c r="X17" s="17"/>
      <c r="Y17" s="17"/>
      <c r="Z17" s="17"/>
      <c r="AA17" s="17"/>
      <c r="AB17" s="24">
        <v>2135</v>
      </c>
      <c r="AC17" s="23">
        <v>636</v>
      </c>
      <c r="AD17" s="22">
        <f t="shared" si="4"/>
        <v>2340.071</v>
      </c>
      <c r="AE17" s="22">
        <v>8</v>
      </c>
      <c r="AF17" s="25">
        <f t="shared" si="5"/>
        <v>2019.481</v>
      </c>
      <c r="AG17" s="25">
        <f t="shared" si="6"/>
        <v>168.251</v>
      </c>
      <c r="AH17" s="25">
        <f t="shared" si="7"/>
        <v>35.101</v>
      </c>
      <c r="AI17" s="25">
        <f t="shared" si="8"/>
        <v>117.238</v>
      </c>
      <c r="AJ17" s="22">
        <f t="shared" si="9"/>
        <v>0.8152705292129742</v>
      </c>
    </row>
    <row r="18" spans="1:36" s="12" customFormat="1" ht="11.25">
      <c r="A18" s="33">
        <v>7</v>
      </c>
      <c r="B18" s="18"/>
      <c r="C18" s="19" t="s">
        <v>47</v>
      </c>
      <c r="D18" s="17">
        <v>22</v>
      </c>
      <c r="E18" s="17"/>
      <c r="F18" s="17">
        <v>1963</v>
      </c>
      <c r="G18" s="20">
        <v>78</v>
      </c>
      <c r="H18" s="17"/>
      <c r="I18" s="21">
        <f t="shared" si="1"/>
        <v>2060</v>
      </c>
      <c r="J18" s="24">
        <v>1914.1</v>
      </c>
      <c r="K18" s="24">
        <f>J18</f>
        <v>1914.1</v>
      </c>
      <c r="L18" s="24">
        <v>145.9</v>
      </c>
      <c r="M18" s="17">
        <v>82</v>
      </c>
      <c r="N18" s="22">
        <f t="shared" si="2"/>
        <v>3895.317</v>
      </c>
      <c r="O18" s="22">
        <f t="shared" si="3"/>
        <v>869.511</v>
      </c>
      <c r="P18" s="22">
        <v>110.871</v>
      </c>
      <c r="Q18" s="17"/>
      <c r="R18" s="23">
        <v>545.04</v>
      </c>
      <c r="S18" s="17"/>
      <c r="T18" s="23">
        <v>120.6</v>
      </c>
      <c r="U18" s="23">
        <v>93</v>
      </c>
      <c r="V18" s="24">
        <v>655.2</v>
      </c>
      <c r="W18" s="23">
        <v>450.806</v>
      </c>
      <c r="X18" s="17"/>
      <c r="Y18" s="17"/>
      <c r="Z18" s="17"/>
      <c r="AA18" s="17"/>
      <c r="AB18" s="24">
        <v>1690</v>
      </c>
      <c r="AC18" s="23">
        <v>2575</v>
      </c>
      <c r="AD18" s="22">
        <f t="shared" si="4"/>
        <v>3895.317</v>
      </c>
      <c r="AE18" s="22">
        <v>8</v>
      </c>
      <c r="AF18" s="25">
        <f t="shared" si="5"/>
        <v>3361.659</v>
      </c>
      <c r="AG18" s="25">
        <f t="shared" si="6"/>
        <v>280.073</v>
      </c>
      <c r="AH18" s="25">
        <f t="shared" si="7"/>
        <v>58.43</v>
      </c>
      <c r="AI18" s="25">
        <f t="shared" si="8"/>
        <v>195.155</v>
      </c>
      <c r="AJ18" s="22">
        <f t="shared" si="9"/>
        <v>2.035064521184891</v>
      </c>
    </row>
    <row r="19" spans="1:36" s="12" customFormat="1" ht="11.25">
      <c r="A19" s="17">
        <v>8</v>
      </c>
      <c r="B19" s="18"/>
      <c r="C19" s="19" t="s">
        <v>48</v>
      </c>
      <c r="D19" s="17">
        <v>15</v>
      </c>
      <c r="E19" s="17"/>
      <c r="F19" s="17">
        <v>1959</v>
      </c>
      <c r="G19" s="20">
        <v>84</v>
      </c>
      <c r="H19" s="17"/>
      <c r="I19" s="21">
        <f t="shared" si="1"/>
        <v>1482</v>
      </c>
      <c r="J19" s="24">
        <v>1330.1</v>
      </c>
      <c r="K19" s="24">
        <f>J19-107</f>
        <v>1223.1</v>
      </c>
      <c r="L19" s="24">
        <v>151.9</v>
      </c>
      <c r="M19" s="17">
        <v>51</v>
      </c>
      <c r="N19" s="22">
        <f t="shared" si="2"/>
        <v>3075.591</v>
      </c>
      <c r="O19" s="22">
        <f t="shared" si="3"/>
        <v>911.6709999999999</v>
      </c>
      <c r="P19" s="22">
        <v>110.871</v>
      </c>
      <c r="Q19" s="17"/>
      <c r="R19" s="23">
        <v>562</v>
      </c>
      <c r="S19" s="17"/>
      <c r="T19" s="23">
        <v>139</v>
      </c>
      <c r="U19" s="23">
        <v>99.8</v>
      </c>
      <c r="V19" s="24">
        <v>1005.6</v>
      </c>
      <c r="W19" s="23">
        <v>703.92</v>
      </c>
      <c r="X19" s="17"/>
      <c r="Y19" s="17"/>
      <c r="Z19" s="17"/>
      <c r="AA19" s="17"/>
      <c r="AB19" s="24">
        <v>2340</v>
      </c>
      <c r="AC19" s="23">
        <v>1460</v>
      </c>
      <c r="AD19" s="22">
        <f t="shared" si="4"/>
        <v>3075.591</v>
      </c>
      <c r="AE19" s="22">
        <v>8</v>
      </c>
      <c r="AF19" s="25">
        <f t="shared" si="5"/>
        <v>2654.235</v>
      </c>
      <c r="AG19" s="25">
        <f t="shared" si="6"/>
        <v>221.135</v>
      </c>
      <c r="AH19" s="25">
        <f t="shared" si="7"/>
        <v>46.134</v>
      </c>
      <c r="AI19" s="25">
        <f t="shared" si="8"/>
        <v>154.087</v>
      </c>
      <c r="AJ19" s="22">
        <f t="shared" si="9"/>
        <v>2.3123005789038418</v>
      </c>
    </row>
    <row r="20" spans="1:36" s="12" customFormat="1" ht="11.25">
      <c r="A20" s="33">
        <v>9</v>
      </c>
      <c r="B20" s="18"/>
      <c r="C20" s="34" t="s">
        <v>52</v>
      </c>
      <c r="D20" s="17">
        <v>28</v>
      </c>
      <c r="E20" s="17"/>
      <c r="F20" s="17">
        <v>1969</v>
      </c>
      <c r="G20" s="20">
        <v>72</v>
      </c>
      <c r="H20" s="17"/>
      <c r="I20" s="21">
        <f t="shared" si="1"/>
        <v>4698</v>
      </c>
      <c r="J20" s="24">
        <v>4299.7</v>
      </c>
      <c r="K20" s="24">
        <f>J20-386.7</f>
        <v>3913</v>
      </c>
      <c r="L20" s="24">
        <v>398.3</v>
      </c>
      <c r="M20" s="17">
        <v>215</v>
      </c>
      <c r="N20" s="22">
        <f t="shared" si="2"/>
        <v>4540.880999999999</v>
      </c>
      <c r="O20" s="22">
        <f t="shared" si="3"/>
        <v>1170.781</v>
      </c>
      <c r="P20" s="22">
        <v>110.871</v>
      </c>
      <c r="Q20" s="17"/>
      <c r="R20" s="23">
        <v>758.2</v>
      </c>
      <c r="S20" s="17"/>
      <c r="T20" s="23">
        <v>176.2</v>
      </c>
      <c r="U20" s="23">
        <v>125.51</v>
      </c>
      <c r="V20" s="24">
        <v>1100</v>
      </c>
      <c r="W20" s="23">
        <v>1290.1</v>
      </c>
      <c r="X20" s="17"/>
      <c r="Y20" s="17"/>
      <c r="Z20" s="17"/>
      <c r="AA20" s="17"/>
      <c r="AB20" s="24">
        <v>3125</v>
      </c>
      <c r="AC20" s="23">
        <v>2080</v>
      </c>
      <c r="AD20" s="22">
        <f t="shared" si="4"/>
        <v>4540.880999999999</v>
      </c>
      <c r="AE20" s="22">
        <v>8</v>
      </c>
      <c r="AF20" s="25">
        <f t="shared" si="5"/>
        <v>3918.78</v>
      </c>
      <c r="AG20" s="25">
        <f t="shared" si="6"/>
        <v>326.489</v>
      </c>
      <c r="AH20" s="25">
        <f t="shared" si="7"/>
        <v>68.113</v>
      </c>
      <c r="AI20" s="25">
        <f t="shared" si="8"/>
        <v>227.498</v>
      </c>
      <c r="AJ20" s="22">
        <f t="shared" si="9"/>
        <v>1.0560925180826568</v>
      </c>
    </row>
    <row r="21" spans="1:36" s="12" customFormat="1" ht="11.25">
      <c r="A21" s="17">
        <v>10</v>
      </c>
      <c r="B21" s="18"/>
      <c r="C21" s="34" t="s">
        <v>52</v>
      </c>
      <c r="D21" s="17">
        <v>36</v>
      </c>
      <c r="E21" s="17" t="s">
        <v>41</v>
      </c>
      <c r="F21" s="17">
        <v>1974</v>
      </c>
      <c r="G21" s="20">
        <f t="shared" si="0"/>
        <v>77.73109243697479</v>
      </c>
      <c r="H21" s="17"/>
      <c r="I21" s="21">
        <f t="shared" si="1"/>
        <v>3663.9</v>
      </c>
      <c r="J21" s="24">
        <v>3393.5</v>
      </c>
      <c r="K21" s="24">
        <f>J21-270.43</f>
        <v>3123.07</v>
      </c>
      <c r="L21" s="24">
        <v>270.4</v>
      </c>
      <c r="M21" s="17">
        <v>167</v>
      </c>
      <c r="N21" s="22">
        <f t="shared" si="2"/>
        <v>2436.031</v>
      </c>
      <c r="O21" s="22">
        <f t="shared" si="3"/>
        <v>794.591</v>
      </c>
      <c r="P21" s="22">
        <v>110.871</v>
      </c>
      <c r="Q21" s="17"/>
      <c r="R21" s="23">
        <v>450.7</v>
      </c>
      <c r="S21" s="17"/>
      <c r="T21" s="23">
        <v>139.4</v>
      </c>
      <c r="U21" s="23">
        <v>93.62</v>
      </c>
      <c r="V21" s="24">
        <v>920.2</v>
      </c>
      <c r="W21" s="23">
        <v>1021.44</v>
      </c>
      <c r="X21" s="17"/>
      <c r="Y21" s="17"/>
      <c r="Z21" s="17"/>
      <c r="AA21" s="17"/>
      <c r="AB21" s="24">
        <v>2552</v>
      </c>
      <c r="AC21" s="23">
        <v>620</v>
      </c>
      <c r="AD21" s="22">
        <f t="shared" si="4"/>
        <v>2436.031</v>
      </c>
      <c r="AE21" s="22">
        <v>8</v>
      </c>
      <c r="AF21" s="25">
        <f t="shared" si="5"/>
        <v>2102.295</v>
      </c>
      <c r="AG21" s="25">
        <f t="shared" si="6"/>
        <v>175.151</v>
      </c>
      <c r="AH21" s="25">
        <f t="shared" si="7"/>
        <v>36.54</v>
      </c>
      <c r="AI21" s="25">
        <f t="shared" si="8"/>
        <v>122.045</v>
      </c>
      <c r="AJ21" s="22">
        <f t="shared" si="9"/>
        <v>0.7178520701340798</v>
      </c>
    </row>
    <row r="22" spans="1:36" s="12" customFormat="1" ht="11.25">
      <c r="A22" s="33">
        <v>11</v>
      </c>
      <c r="B22" s="18"/>
      <c r="C22" s="42" t="s">
        <v>53</v>
      </c>
      <c r="D22" s="17">
        <v>11</v>
      </c>
      <c r="E22" s="17"/>
      <c r="F22" s="17">
        <v>1953</v>
      </c>
      <c r="G22" s="20">
        <v>86</v>
      </c>
      <c r="H22" s="17"/>
      <c r="I22" s="21">
        <f t="shared" si="1"/>
        <v>773</v>
      </c>
      <c r="J22" s="24">
        <v>683.4</v>
      </c>
      <c r="K22" s="24">
        <f>J22</f>
        <v>683.4</v>
      </c>
      <c r="L22" s="24">
        <v>89.6</v>
      </c>
      <c r="M22" s="17">
        <v>22</v>
      </c>
      <c r="N22" s="22">
        <f t="shared" si="2"/>
        <v>2344.191</v>
      </c>
      <c r="O22" s="22">
        <f t="shared" si="3"/>
        <v>730.471</v>
      </c>
      <c r="P22" s="22">
        <v>110.871</v>
      </c>
      <c r="Q22" s="17"/>
      <c r="R22" s="23">
        <v>458.2</v>
      </c>
      <c r="S22" s="17"/>
      <c r="T22" s="23">
        <v>99.4</v>
      </c>
      <c r="U22" s="23">
        <v>62</v>
      </c>
      <c r="V22" s="24">
        <v>819.6</v>
      </c>
      <c r="W22" s="23">
        <v>573.72</v>
      </c>
      <c r="X22" s="17"/>
      <c r="Y22" s="17"/>
      <c r="Z22" s="17"/>
      <c r="AA22" s="17"/>
      <c r="AB22" s="24">
        <v>1456</v>
      </c>
      <c r="AC22" s="23">
        <v>1040</v>
      </c>
      <c r="AD22" s="22">
        <f t="shared" si="4"/>
        <v>2344.191</v>
      </c>
      <c r="AE22" s="22">
        <v>8</v>
      </c>
      <c r="AF22" s="25">
        <f t="shared" si="5"/>
        <v>2023.037</v>
      </c>
      <c r="AG22" s="25">
        <f t="shared" si="6"/>
        <v>168.547</v>
      </c>
      <c r="AH22" s="25">
        <f t="shared" si="7"/>
        <v>35.163</v>
      </c>
      <c r="AI22" s="25">
        <f t="shared" si="8"/>
        <v>117.444</v>
      </c>
      <c r="AJ22" s="22">
        <f t="shared" si="9"/>
        <v>3.430188762071993</v>
      </c>
    </row>
    <row r="23" spans="1:36" s="12" customFormat="1" ht="11.25">
      <c r="A23" s="17">
        <v>12</v>
      </c>
      <c r="B23" s="18"/>
      <c r="C23" s="42" t="s">
        <v>52</v>
      </c>
      <c r="D23" s="17">
        <v>25</v>
      </c>
      <c r="E23" s="17"/>
      <c r="F23" s="17">
        <v>1969</v>
      </c>
      <c r="G23" s="20">
        <f t="shared" si="0"/>
        <v>88.23529411764706</v>
      </c>
      <c r="H23" s="17"/>
      <c r="I23" s="21">
        <f t="shared" si="1"/>
        <v>6626.5</v>
      </c>
      <c r="J23" s="24">
        <v>6107.1</v>
      </c>
      <c r="K23" s="24">
        <f>J23-209.8</f>
        <v>5897.3</v>
      </c>
      <c r="L23" s="24">
        <v>519.4</v>
      </c>
      <c r="M23" s="17">
        <v>254</v>
      </c>
      <c r="N23" s="22">
        <f t="shared" si="2"/>
        <v>4114.221</v>
      </c>
      <c r="O23" s="22">
        <f t="shared" si="3"/>
        <v>1223.3909999999998</v>
      </c>
      <c r="P23" s="22">
        <v>110.871</v>
      </c>
      <c r="Q23" s="17"/>
      <c r="R23" s="23">
        <v>765.9</v>
      </c>
      <c r="S23" s="17"/>
      <c r="T23" s="23">
        <v>196.02</v>
      </c>
      <c r="U23" s="23">
        <v>150.6</v>
      </c>
      <c r="V23" s="24">
        <v>1656</v>
      </c>
      <c r="W23" s="23">
        <v>1940.83</v>
      </c>
      <c r="X23" s="17"/>
      <c r="Y23" s="17"/>
      <c r="Z23" s="17"/>
      <c r="AA23" s="17"/>
      <c r="AB23" s="24">
        <v>4301</v>
      </c>
      <c r="AC23" s="23">
        <v>950</v>
      </c>
      <c r="AD23" s="22">
        <f t="shared" si="4"/>
        <v>4114.221</v>
      </c>
      <c r="AE23" s="22">
        <v>8</v>
      </c>
      <c r="AF23" s="25">
        <f t="shared" si="5"/>
        <v>3550.573</v>
      </c>
      <c r="AG23" s="25">
        <f t="shared" si="6"/>
        <v>295.812</v>
      </c>
      <c r="AH23" s="25">
        <f t="shared" si="7"/>
        <v>61.713</v>
      </c>
      <c r="AI23" s="25">
        <f t="shared" si="8"/>
        <v>206.122</v>
      </c>
      <c r="AJ23" s="22">
        <f t="shared" si="9"/>
        <v>0.6736783416023971</v>
      </c>
    </row>
    <row r="24" spans="1:36" s="12" customFormat="1" ht="11.25">
      <c r="A24" s="33">
        <v>13</v>
      </c>
      <c r="B24" s="18"/>
      <c r="C24" s="42" t="s">
        <v>54</v>
      </c>
      <c r="D24" s="17">
        <v>3</v>
      </c>
      <c r="E24" s="17"/>
      <c r="F24" s="17">
        <v>1993</v>
      </c>
      <c r="G24" s="20">
        <f t="shared" si="0"/>
        <v>37.81512605042017</v>
      </c>
      <c r="H24" s="17"/>
      <c r="I24" s="21">
        <f t="shared" si="1"/>
        <v>6042.5</v>
      </c>
      <c r="J24" s="24">
        <v>5358.5</v>
      </c>
      <c r="K24" s="24">
        <f>J24</f>
        <v>5358.5</v>
      </c>
      <c r="L24" s="24">
        <v>684</v>
      </c>
      <c r="M24" s="17">
        <v>223</v>
      </c>
      <c r="N24" s="22">
        <f t="shared" si="2"/>
        <v>5987.271</v>
      </c>
      <c r="O24" s="22">
        <f t="shared" si="3"/>
        <v>860.471</v>
      </c>
      <c r="P24" s="22">
        <v>110.871</v>
      </c>
      <c r="Q24" s="17"/>
      <c r="R24" s="23">
        <v>511.9</v>
      </c>
      <c r="S24" s="17"/>
      <c r="T24" s="23">
        <v>139.5</v>
      </c>
      <c r="U24" s="23">
        <v>98.2</v>
      </c>
      <c r="V24" s="24">
        <v>900</v>
      </c>
      <c r="W24" s="23">
        <v>1054.8</v>
      </c>
      <c r="X24" s="17"/>
      <c r="Y24" s="17"/>
      <c r="Z24" s="17"/>
      <c r="AA24" s="17"/>
      <c r="AB24" s="24">
        <v>1985</v>
      </c>
      <c r="AC24" s="23">
        <v>4072</v>
      </c>
      <c r="AD24" s="22">
        <f t="shared" si="4"/>
        <v>5987.271</v>
      </c>
      <c r="AE24" s="22">
        <v>8</v>
      </c>
      <c r="AF24" s="25">
        <f t="shared" si="5"/>
        <v>5167.015</v>
      </c>
      <c r="AG24" s="25">
        <f t="shared" si="6"/>
        <v>430.485</v>
      </c>
      <c r="AH24" s="25">
        <f t="shared" si="7"/>
        <v>89.809</v>
      </c>
      <c r="AI24" s="25">
        <f t="shared" si="8"/>
        <v>299.962</v>
      </c>
      <c r="AJ24" s="22">
        <f t="shared" si="9"/>
        <v>1.1173408603153867</v>
      </c>
    </row>
    <row r="25" spans="1:36" s="12" customFormat="1" ht="11.25">
      <c r="A25" s="17">
        <v>14</v>
      </c>
      <c r="B25" s="18"/>
      <c r="C25" s="42" t="s">
        <v>55</v>
      </c>
      <c r="D25" s="17">
        <v>5</v>
      </c>
      <c r="E25" s="17" t="s">
        <v>44</v>
      </c>
      <c r="F25" s="17">
        <v>1986</v>
      </c>
      <c r="G25" s="20">
        <f t="shared" si="0"/>
        <v>52.52100840336135</v>
      </c>
      <c r="H25" s="17"/>
      <c r="I25" s="21">
        <f t="shared" si="1"/>
        <v>2957.8999999999996</v>
      </c>
      <c r="J25" s="24">
        <v>2424.6</v>
      </c>
      <c r="K25" s="24">
        <f>J25-46</f>
        <v>2378.6</v>
      </c>
      <c r="L25" s="43">
        <v>533.3</v>
      </c>
      <c r="M25" s="76">
        <v>224</v>
      </c>
      <c r="N25" s="78">
        <f t="shared" si="2"/>
        <v>2586.571</v>
      </c>
      <c r="O25" s="78">
        <f t="shared" si="3"/>
        <v>926.571</v>
      </c>
      <c r="P25" s="78">
        <v>110.871</v>
      </c>
      <c r="Q25" s="17"/>
      <c r="R25" s="78">
        <v>538.6</v>
      </c>
      <c r="S25" s="17"/>
      <c r="T25" s="69">
        <v>149.5</v>
      </c>
      <c r="U25" s="69">
        <v>127.6</v>
      </c>
      <c r="V25" s="80">
        <v>760</v>
      </c>
      <c r="W25" s="69">
        <v>560</v>
      </c>
      <c r="X25" s="27"/>
      <c r="Y25" s="27"/>
      <c r="Z25" s="27"/>
      <c r="AA25" s="27"/>
      <c r="AB25" s="80">
        <v>4320</v>
      </c>
      <c r="AC25" s="69">
        <v>1100</v>
      </c>
      <c r="AD25" s="69">
        <f t="shared" si="4"/>
        <v>2586.571</v>
      </c>
      <c r="AE25" s="69">
        <v>8</v>
      </c>
      <c r="AF25" s="74">
        <f t="shared" si="5"/>
        <v>2232.211</v>
      </c>
      <c r="AG25" s="74">
        <f t="shared" si="6"/>
        <v>185.974</v>
      </c>
      <c r="AH25" s="74">
        <f t="shared" si="7"/>
        <v>38.799</v>
      </c>
      <c r="AI25" s="74">
        <f t="shared" si="8"/>
        <v>129.587</v>
      </c>
      <c r="AJ25" s="69">
        <f t="shared" si="9"/>
        <v>1.0668031840303556</v>
      </c>
    </row>
    <row r="26" spans="1:36" s="12" customFormat="1" ht="11.25">
      <c r="A26" s="33">
        <v>15</v>
      </c>
      <c r="B26" s="18"/>
      <c r="C26" s="42" t="s">
        <v>55</v>
      </c>
      <c r="D26" s="17">
        <v>5</v>
      </c>
      <c r="E26" s="17" t="s">
        <v>45</v>
      </c>
      <c r="F26" s="17">
        <v>1986</v>
      </c>
      <c r="G26" s="20">
        <f t="shared" si="0"/>
        <v>52.52100840336135</v>
      </c>
      <c r="H26" s="17"/>
      <c r="I26" s="21">
        <f t="shared" si="1"/>
        <v>2957.8999999999996</v>
      </c>
      <c r="J26" s="24">
        <v>2424.6</v>
      </c>
      <c r="K26" s="24">
        <f>J26-64.9</f>
        <v>2359.7</v>
      </c>
      <c r="L26" s="44">
        <v>533.3</v>
      </c>
      <c r="M26" s="77"/>
      <c r="N26" s="79"/>
      <c r="O26" s="79"/>
      <c r="P26" s="79"/>
      <c r="Q26" s="17"/>
      <c r="R26" s="79"/>
      <c r="S26" s="17"/>
      <c r="T26" s="70"/>
      <c r="U26" s="70"/>
      <c r="V26" s="81"/>
      <c r="W26" s="70"/>
      <c r="X26" s="27"/>
      <c r="Y26" s="27"/>
      <c r="Z26" s="27"/>
      <c r="AA26" s="27"/>
      <c r="AB26" s="81"/>
      <c r="AC26" s="70"/>
      <c r="AD26" s="70"/>
      <c r="AE26" s="70"/>
      <c r="AF26" s="75"/>
      <c r="AG26" s="75"/>
      <c r="AH26" s="75"/>
      <c r="AI26" s="75"/>
      <c r="AJ26" s="70"/>
    </row>
    <row r="27" spans="1:36" s="12" customFormat="1" ht="11.25">
      <c r="A27" s="17">
        <v>16</v>
      </c>
      <c r="B27" s="18"/>
      <c r="C27" s="42" t="s">
        <v>55</v>
      </c>
      <c r="D27" s="17">
        <v>7</v>
      </c>
      <c r="E27" s="17"/>
      <c r="F27" s="17">
        <v>1986</v>
      </c>
      <c r="G27" s="20">
        <f t="shared" si="0"/>
        <v>52.52100840336135</v>
      </c>
      <c r="H27" s="17"/>
      <c r="I27" s="21">
        <f t="shared" si="1"/>
        <v>2836.3</v>
      </c>
      <c r="J27" s="24">
        <v>2715.9</v>
      </c>
      <c r="K27" s="24">
        <f>J27-448.1</f>
        <v>2267.8</v>
      </c>
      <c r="L27" s="24">
        <v>120.4</v>
      </c>
      <c r="M27" s="17">
        <v>324</v>
      </c>
      <c r="N27" s="22">
        <f t="shared" si="2"/>
        <v>1673.271</v>
      </c>
      <c r="O27" s="22">
        <f t="shared" si="3"/>
        <v>1223.271</v>
      </c>
      <c r="P27" s="22">
        <v>110.871</v>
      </c>
      <c r="Q27" s="17"/>
      <c r="R27" s="23">
        <v>452.4</v>
      </c>
      <c r="S27" s="17"/>
      <c r="T27" s="23">
        <v>390</v>
      </c>
      <c r="U27" s="23">
        <v>270</v>
      </c>
      <c r="V27" s="24">
        <v>0</v>
      </c>
      <c r="W27" s="23">
        <v>0</v>
      </c>
      <c r="X27" s="17"/>
      <c r="Y27" s="17"/>
      <c r="Z27" s="17"/>
      <c r="AA27" s="17"/>
      <c r="AB27" s="24">
        <v>2500</v>
      </c>
      <c r="AC27" s="23">
        <v>450</v>
      </c>
      <c r="AD27" s="22">
        <f t="shared" si="4"/>
        <v>1673.271</v>
      </c>
      <c r="AE27" s="22">
        <v>8</v>
      </c>
      <c r="AF27" s="25">
        <f aca="true" t="shared" si="10" ref="AF27:AF35">ROUND(AD27*86.3%,3)</f>
        <v>1444.033</v>
      </c>
      <c r="AG27" s="25">
        <f aca="true" t="shared" si="11" ref="AG27:AG35">ROUND(AD27*7.19%,3)</f>
        <v>120.308</v>
      </c>
      <c r="AH27" s="25">
        <f aca="true" t="shared" si="12" ref="AH27:AH35">ROUND(AD27*1.5%,3)</f>
        <v>25.099</v>
      </c>
      <c r="AI27" s="25">
        <f aca="true" t="shared" si="13" ref="AI27:AI35">ROUND(AD27*5.01%,3)</f>
        <v>83.831</v>
      </c>
      <c r="AJ27" s="22">
        <f t="shared" si="9"/>
        <v>0.6161018446923672</v>
      </c>
    </row>
    <row r="28" spans="1:36" s="12" customFormat="1" ht="11.25">
      <c r="A28" s="33">
        <v>17</v>
      </c>
      <c r="B28" s="18"/>
      <c r="C28" s="42" t="s">
        <v>55</v>
      </c>
      <c r="D28" s="17">
        <v>7</v>
      </c>
      <c r="E28" s="17" t="s">
        <v>42</v>
      </c>
      <c r="F28" s="17">
        <v>1981</v>
      </c>
      <c r="G28" s="20">
        <f t="shared" si="0"/>
        <v>63.02521008403361</v>
      </c>
      <c r="H28" s="17"/>
      <c r="I28" s="21">
        <f t="shared" si="1"/>
        <v>3190.94</v>
      </c>
      <c r="J28" s="24">
        <v>3030.44</v>
      </c>
      <c r="K28" s="24">
        <f>J28-58.5</f>
        <v>2971.94</v>
      </c>
      <c r="L28" s="24">
        <v>160.5</v>
      </c>
      <c r="M28" s="17">
        <v>180</v>
      </c>
      <c r="N28" s="22">
        <f t="shared" si="2"/>
        <v>1749.571</v>
      </c>
      <c r="O28" s="22">
        <f t="shared" si="3"/>
        <v>899.5709999999999</v>
      </c>
      <c r="P28" s="22">
        <v>110.871</v>
      </c>
      <c r="Q28" s="17"/>
      <c r="R28" s="23">
        <v>538.8</v>
      </c>
      <c r="S28" s="17"/>
      <c r="T28" s="23">
        <v>150.2</v>
      </c>
      <c r="U28" s="23">
        <v>99.7</v>
      </c>
      <c r="V28" s="24">
        <v>0</v>
      </c>
      <c r="W28" s="23">
        <v>0</v>
      </c>
      <c r="X28" s="17"/>
      <c r="Y28" s="17"/>
      <c r="Z28" s="17"/>
      <c r="AA28" s="17"/>
      <c r="AB28" s="24">
        <v>4200</v>
      </c>
      <c r="AC28" s="23">
        <v>850</v>
      </c>
      <c r="AD28" s="22">
        <f t="shared" si="4"/>
        <v>1749.571</v>
      </c>
      <c r="AE28" s="22">
        <v>8</v>
      </c>
      <c r="AF28" s="25">
        <f t="shared" si="10"/>
        <v>1509.88</v>
      </c>
      <c r="AG28" s="25">
        <f t="shared" si="11"/>
        <v>125.794</v>
      </c>
      <c r="AH28" s="25">
        <f t="shared" si="12"/>
        <v>26.244</v>
      </c>
      <c r="AI28" s="25">
        <f t="shared" si="13"/>
        <v>87.654</v>
      </c>
      <c r="AJ28" s="22">
        <f t="shared" si="9"/>
        <v>0.577332334578477</v>
      </c>
    </row>
    <row r="29" spans="1:36" s="12" customFormat="1" ht="11.25">
      <c r="A29" s="17">
        <v>18</v>
      </c>
      <c r="B29" s="18"/>
      <c r="C29" s="42" t="s">
        <v>55</v>
      </c>
      <c r="D29" s="17">
        <v>9</v>
      </c>
      <c r="E29" s="17"/>
      <c r="F29" s="17">
        <v>1984</v>
      </c>
      <c r="G29" s="20">
        <f t="shared" si="0"/>
        <v>56.72268907563025</v>
      </c>
      <c r="H29" s="17"/>
      <c r="I29" s="21">
        <f t="shared" si="1"/>
        <v>1735.9</v>
      </c>
      <c r="J29" s="24">
        <v>1589.4</v>
      </c>
      <c r="K29" s="24">
        <f>J29-51.2</f>
        <v>1538.2</v>
      </c>
      <c r="L29" s="24">
        <v>146.5</v>
      </c>
      <c r="M29" s="17">
        <v>83</v>
      </c>
      <c r="N29" s="22">
        <f t="shared" si="2"/>
        <v>1419.971</v>
      </c>
      <c r="O29" s="22">
        <f t="shared" si="3"/>
        <v>569.971</v>
      </c>
      <c r="P29" s="22">
        <v>110.871</v>
      </c>
      <c r="Q29" s="17"/>
      <c r="R29" s="23">
        <v>305</v>
      </c>
      <c r="S29" s="17"/>
      <c r="T29" s="23">
        <v>89.6</v>
      </c>
      <c r="U29" s="23">
        <v>64.5</v>
      </c>
      <c r="V29" s="24"/>
      <c r="W29" s="23"/>
      <c r="X29" s="17"/>
      <c r="Y29" s="17"/>
      <c r="Z29" s="17"/>
      <c r="AA29" s="17"/>
      <c r="AB29" s="24">
        <v>5914</v>
      </c>
      <c r="AC29" s="23">
        <v>850</v>
      </c>
      <c r="AD29" s="22">
        <f t="shared" si="4"/>
        <v>1419.971</v>
      </c>
      <c r="AE29" s="22">
        <v>8</v>
      </c>
      <c r="AF29" s="25">
        <f t="shared" si="10"/>
        <v>1225.435</v>
      </c>
      <c r="AG29" s="25">
        <f t="shared" si="11"/>
        <v>102.096</v>
      </c>
      <c r="AH29" s="25">
        <f t="shared" si="12"/>
        <v>21.3</v>
      </c>
      <c r="AI29" s="25">
        <f t="shared" si="13"/>
        <v>71.141</v>
      </c>
      <c r="AJ29" s="22">
        <f t="shared" si="9"/>
        <v>0.8934006543349691</v>
      </c>
    </row>
    <row r="30" spans="1:36" s="12" customFormat="1" ht="11.25">
      <c r="A30" s="33">
        <v>19</v>
      </c>
      <c r="B30" s="18"/>
      <c r="C30" s="42" t="s">
        <v>55</v>
      </c>
      <c r="D30" s="17">
        <v>34</v>
      </c>
      <c r="E30" s="17" t="s">
        <v>41</v>
      </c>
      <c r="F30" s="17">
        <v>1976</v>
      </c>
      <c r="G30" s="20">
        <f t="shared" si="0"/>
        <v>73.52941176470587</v>
      </c>
      <c r="H30" s="17"/>
      <c r="I30" s="21">
        <f t="shared" si="1"/>
        <v>3172.56</v>
      </c>
      <c r="J30" s="24">
        <v>2873.66</v>
      </c>
      <c r="K30" s="24">
        <f>J30</f>
        <v>2873.66</v>
      </c>
      <c r="L30" s="24">
        <v>298.9</v>
      </c>
      <c r="M30" s="17">
        <v>120</v>
      </c>
      <c r="N30" s="22">
        <f t="shared" si="2"/>
        <v>3591.191</v>
      </c>
      <c r="O30" s="22">
        <f t="shared" si="3"/>
        <v>756.3910000000001</v>
      </c>
      <c r="P30" s="22">
        <v>110.871</v>
      </c>
      <c r="Q30" s="17"/>
      <c r="R30" s="23">
        <v>452.8</v>
      </c>
      <c r="S30" s="17"/>
      <c r="T30" s="23">
        <v>105.6</v>
      </c>
      <c r="U30" s="23">
        <v>87.12</v>
      </c>
      <c r="V30" s="24">
        <v>801.1</v>
      </c>
      <c r="W30" s="23">
        <v>560.8</v>
      </c>
      <c r="X30" s="17"/>
      <c r="Y30" s="17"/>
      <c r="Z30" s="17"/>
      <c r="AA30" s="17"/>
      <c r="AB30" s="24">
        <v>650.5</v>
      </c>
      <c r="AC30" s="23">
        <v>2274</v>
      </c>
      <c r="AD30" s="22">
        <f t="shared" si="4"/>
        <v>3591.191</v>
      </c>
      <c r="AE30" s="22">
        <v>8</v>
      </c>
      <c r="AF30" s="25">
        <f t="shared" si="10"/>
        <v>3099.198</v>
      </c>
      <c r="AG30" s="25">
        <f t="shared" si="11"/>
        <v>258.207</v>
      </c>
      <c r="AH30" s="25">
        <f t="shared" si="12"/>
        <v>53.868</v>
      </c>
      <c r="AI30" s="25">
        <f t="shared" si="13"/>
        <v>179.919</v>
      </c>
      <c r="AJ30" s="22">
        <f t="shared" si="9"/>
        <v>1.2496923783606968</v>
      </c>
    </row>
    <row r="31" spans="1:36" s="12" customFormat="1" ht="11.25">
      <c r="A31" s="17">
        <v>20</v>
      </c>
      <c r="B31" s="18"/>
      <c r="C31" s="19" t="s">
        <v>49</v>
      </c>
      <c r="D31" s="17">
        <v>10</v>
      </c>
      <c r="E31" s="17"/>
      <c r="F31" s="17">
        <v>1954</v>
      </c>
      <c r="G31" s="20">
        <v>89</v>
      </c>
      <c r="H31" s="17"/>
      <c r="I31" s="21">
        <f t="shared" si="1"/>
        <v>1446.6000000000001</v>
      </c>
      <c r="J31" s="24">
        <v>1314.7</v>
      </c>
      <c r="K31" s="24">
        <f>J31-108.9</f>
        <v>1205.8</v>
      </c>
      <c r="L31" s="24">
        <v>131.9</v>
      </c>
      <c r="M31" s="17">
        <v>52</v>
      </c>
      <c r="N31" s="22">
        <f t="shared" si="2"/>
        <v>2659.429</v>
      </c>
      <c r="O31" s="22">
        <f t="shared" si="3"/>
        <v>867.429</v>
      </c>
      <c r="P31" s="22">
        <v>110.871</v>
      </c>
      <c r="Q31" s="17"/>
      <c r="R31" s="23">
        <v>526.038</v>
      </c>
      <c r="S31" s="17"/>
      <c r="T31" s="23">
        <v>120.4</v>
      </c>
      <c r="U31" s="23">
        <v>110.12</v>
      </c>
      <c r="V31" s="24">
        <v>1217.04</v>
      </c>
      <c r="W31" s="23">
        <v>852</v>
      </c>
      <c r="X31" s="17"/>
      <c r="Y31" s="17"/>
      <c r="Z31" s="17"/>
      <c r="AA31" s="17"/>
      <c r="AB31" s="24">
        <v>1320</v>
      </c>
      <c r="AC31" s="23">
        <v>940</v>
      </c>
      <c r="AD31" s="22">
        <f t="shared" si="4"/>
        <v>2659.429</v>
      </c>
      <c r="AE31" s="22">
        <v>8</v>
      </c>
      <c r="AF31" s="25">
        <f t="shared" si="10"/>
        <v>2295.087</v>
      </c>
      <c r="AG31" s="25">
        <f t="shared" si="11"/>
        <v>191.213</v>
      </c>
      <c r="AH31" s="25">
        <f t="shared" si="12"/>
        <v>39.891</v>
      </c>
      <c r="AI31" s="25">
        <f t="shared" si="13"/>
        <v>133.237</v>
      </c>
      <c r="AJ31" s="22">
        <f t="shared" si="9"/>
        <v>2.0228409523085116</v>
      </c>
    </row>
    <row r="32" spans="1:36" s="12" customFormat="1" ht="11.25">
      <c r="A32" s="33">
        <v>21</v>
      </c>
      <c r="B32" s="18"/>
      <c r="C32" s="19" t="s">
        <v>49</v>
      </c>
      <c r="D32" s="17">
        <v>12</v>
      </c>
      <c r="E32" s="17"/>
      <c r="F32" s="17">
        <v>1954</v>
      </c>
      <c r="G32" s="20">
        <v>89</v>
      </c>
      <c r="H32" s="17"/>
      <c r="I32" s="21">
        <f t="shared" si="1"/>
        <v>740.0999999999999</v>
      </c>
      <c r="J32" s="24">
        <v>649.8</v>
      </c>
      <c r="K32" s="24">
        <f>J32</f>
        <v>649.8</v>
      </c>
      <c r="L32" s="24">
        <v>90.3</v>
      </c>
      <c r="M32" s="17">
        <v>27</v>
      </c>
      <c r="N32" s="22">
        <f t="shared" si="2"/>
        <v>1789.871</v>
      </c>
      <c r="O32" s="22">
        <f t="shared" si="3"/>
        <v>706.271</v>
      </c>
      <c r="P32" s="22">
        <v>110.871</v>
      </c>
      <c r="Q32" s="17"/>
      <c r="R32" s="23">
        <v>428.2</v>
      </c>
      <c r="S32" s="17"/>
      <c r="T32" s="23">
        <v>99.8</v>
      </c>
      <c r="U32" s="23">
        <v>67.4</v>
      </c>
      <c r="V32" s="24">
        <v>805.08</v>
      </c>
      <c r="W32" s="23">
        <v>563.6</v>
      </c>
      <c r="X32" s="17"/>
      <c r="Y32" s="17"/>
      <c r="Z32" s="17"/>
      <c r="AA32" s="17"/>
      <c r="AB32" s="24">
        <v>320</v>
      </c>
      <c r="AC32" s="23">
        <v>520</v>
      </c>
      <c r="AD32" s="22">
        <f t="shared" si="4"/>
        <v>1789.871</v>
      </c>
      <c r="AE32" s="22">
        <v>8</v>
      </c>
      <c r="AF32" s="25">
        <f t="shared" si="10"/>
        <v>1544.659</v>
      </c>
      <c r="AG32" s="25">
        <f t="shared" si="11"/>
        <v>128.692</v>
      </c>
      <c r="AH32" s="25">
        <f t="shared" si="12"/>
        <v>26.848</v>
      </c>
      <c r="AI32" s="25">
        <f t="shared" si="13"/>
        <v>89.673</v>
      </c>
      <c r="AJ32" s="22">
        <f t="shared" si="9"/>
        <v>2.7544952293013236</v>
      </c>
    </row>
    <row r="33" spans="1:36" s="12" customFormat="1" ht="11.25">
      <c r="A33" s="17">
        <v>22</v>
      </c>
      <c r="B33" s="18"/>
      <c r="C33" s="34" t="s">
        <v>88</v>
      </c>
      <c r="D33" s="17">
        <v>11</v>
      </c>
      <c r="E33" s="17" t="s">
        <v>42</v>
      </c>
      <c r="F33" s="17">
        <v>1996</v>
      </c>
      <c r="G33" s="20">
        <f t="shared" si="0"/>
        <v>31.512605042016805</v>
      </c>
      <c r="H33" s="17"/>
      <c r="I33" s="21">
        <f t="shared" si="1"/>
        <v>961.8</v>
      </c>
      <c r="J33" s="24">
        <v>878.8</v>
      </c>
      <c r="K33" s="24">
        <f>J33</f>
        <v>878.8</v>
      </c>
      <c r="L33" s="24">
        <v>83</v>
      </c>
      <c r="M33" s="17">
        <v>27</v>
      </c>
      <c r="N33" s="22">
        <f t="shared" si="2"/>
        <v>1728.571</v>
      </c>
      <c r="O33" s="22">
        <f t="shared" si="3"/>
        <v>648.5709999999999</v>
      </c>
      <c r="P33" s="22">
        <v>110.871</v>
      </c>
      <c r="Q33" s="17"/>
      <c r="R33" s="23">
        <v>360</v>
      </c>
      <c r="S33" s="17"/>
      <c r="T33" s="23">
        <v>101.9</v>
      </c>
      <c r="U33" s="23">
        <v>75.8</v>
      </c>
      <c r="V33" s="24">
        <v>281.2</v>
      </c>
      <c r="W33" s="23">
        <v>630</v>
      </c>
      <c r="X33" s="17"/>
      <c r="Y33" s="17"/>
      <c r="Z33" s="17"/>
      <c r="AA33" s="17"/>
      <c r="AB33" s="24">
        <v>1100</v>
      </c>
      <c r="AC33" s="23">
        <v>450</v>
      </c>
      <c r="AD33" s="22">
        <f t="shared" si="4"/>
        <v>1728.571</v>
      </c>
      <c r="AE33" s="22">
        <v>8</v>
      </c>
      <c r="AF33" s="25">
        <f t="shared" si="10"/>
        <v>1491.757</v>
      </c>
      <c r="AG33" s="25">
        <f t="shared" si="11"/>
        <v>124.284</v>
      </c>
      <c r="AH33" s="25">
        <f t="shared" si="12"/>
        <v>25.929</v>
      </c>
      <c r="AI33" s="25">
        <f t="shared" si="13"/>
        <v>86.601</v>
      </c>
      <c r="AJ33" s="22">
        <f t="shared" si="9"/>
        <v>1.9669674556213017</v>
      </c>
    </row>
    <row r="34" spans="1:36" s="12" customFormat="1" ht="11.25">
      <c r="A34" s="33">
        <v>23</v>
      </c>
      <c r="B34" s="18"/>
      <c r="C34" s="34" t="s">
        <v>88</v>
      </c>
      <c r="D34" s="17">
        <v>9</v>
      </c>
      <c r="E34" s="17" t="s">
        <v>41</v>
      </c>
      <c r="F34" s="17">
        <v>1996</v>
      </c>
      <c r="G34" s="20">
        <f>(2011-F34)/47.6*100</f>
        <v>31.512605042016805</v>
      </c>
      <c r="H34" s="17"/>
      <c r="I34" s="21">
        <f>J34+L34</f>
        <v>421.6</v>
      </c>
      <c r="J34" s="24">
        <v>373.3</v>
      </c>
      <c r="K34" s="24">
        <f>J34</f>
        <v>373.3</v>
      </c>
      <c r="L34" s="24">
        <v>48.3</v>
      </c>
      <c r="M34" s="17">
        <v>16</v>
      </c>
      <c r="N34" s="22">
        <f>AD34</f>
        <v>776.871</v>
      </c>
      <c r="O34" s="22">
        <f>P34+R34+T34+U34</f>
        <v>606.871</v>
      </c>
      <c r="P34" s="22">
        <v>110.871</v>
      </c>
      <c r="Q34" s="17"/>
      <c r="R34" s="23">
        <v>301.5</v>
      </c>
      <c r="S34" s="17"/>
      <c r="T34" s="23">
        <v>68.9</v>
      </c>
      <c r="U34" s="23">
        <v>125.6</v>
      </c>
      <c r="V34" s="24">
        <v>0</v>
      </c>
      <c r="W34" s="23">
        <v>0</v>
      </c>
      <c r="X34" s="17"/>
      <c r="Y34" s="17"/>
      <c r="Z34" s="17"/>
      <c r="AA34" s="17"/>
      <c r="AB34" s="24">
        <v>408</v>
      </c>
      <c r="AC34" s="23">
        <v>170</v>
      </c>
      <c r="AD34" s="22">
        <f>O34+W34+AC34</f>
        <v>776.871</v>
      </c>
      <c r="AE34" s="22">
        <v>8</v>
      </c>
      <c r="AF34" s="25">
        <f t="shared" si="10"/>
        <v>670.44</v>
      </c>
      <c r="AG34" s="25">
        <f t="shared" si="11"/>
        <v>55.857</v>
      </c>
      <c r="AH34" s="25">
        <f t="shared" si="12"/>
        <v>11.653</v>
      </c>
      <c r="AI34" s="25">
        <f t="shared" si="13"/>
        <v>38.921</v>
      </c>
      <c r="AJ34" s="22">
        <f t="shared" si="9"/>
        <v>2.0810902759174925</v>
      </c>
    </row>
    <row r="35" spans="1:36" s="12" customFormat="1" ht="11.25">
      <c r="A35" s="17">
        <v>24</v>
      </c>
      <c r="B35" s="18"/>
      <c r="C35" s="34" t="s">
        <v>89</v>
      </c>
      <c r="D35" s="17">
        <v>524</v>
      </c>
      <c r="E35" s="17"/>
      <c r="F35" s="17">
        <v>1988</v>
      </c>
      <c r="G35" s="20">
        <f>(2011-F35)/47.6*100</f>
        <v>48.319327731092436</v>
      </c>
      <c r="H35" s="17"/>
      <c r="I35" s="21">
        <f>J35+L35</f>
        <v>1349.6999999999998</v>
      </c>
      <c r="J35" s="24">
        <v>1237.6</v>
      </c>
      <c r="K35" s="24">
        <f>J35-109.8</f>
        <v>1127.8</v>
      </c>
      <c r="L35" s="24">
        <v>112.1</v>
      </c>
      <c r="M35" s="17">
        <v>64</v>
      </c>
      <c r="N35" s="22">
        <f>AD35</f>
        <v>1956.941</v>
      </c>
      <c r="O35" s="22">
        <f>P35+R35+T35+U35</f>
        <v>752.811</v>
      </c>
      <c r="P35" s="22">
        <v>110.871</v>
      </c>
      <c r="Q35" s="17"/>
      <c r="R35" s="23">
        <v>437.3</v>
      </c>
      <c r="S35" s="17"/>
      <c r="T35" s="23">
        <v>128.49</v>
      </c>
      <c r="U35" s="23">
        <v>76.15</v>
      </c>
      <c r="V35" s="24">
        <v>905.9</v>
      </c>
      <c r="W35" s="23">
        <v>734.13</v>
      </c>
      <c r="X35" s="17"/>
      <c r="Y35" s="17"/>
      <c r="Z35" s="17"/>
      <c r="AA35" s="17"/>
      <c r="AB35" s="24">
        <v>531</v>
      </c>
      <c r="AC35" s="23">
        <v>470</v>
      </c>
      <c r="AD35" s="22">
        <f>O35+W35+AC35</f>
        <v>1956.941</v>
      </c>
      <c r="AE35" s="22">
        <v>8</v>
      </c>
      <c r="AF35" s="25">
        <f t="shared" si="10"/>
        <v>1688.84</v>
      </c>
      <c r="AG35" s="25">
        <f t="shared" si="11"/>
        <v>140.704</v>
      </c>
      <c r="AH35" s="25">
        <f t="shared" si="12"/>
        <v>29.354</v>
      </c>
      <c r="AI35" s="25">
        <f t="shared" si="13"/>
        <v>98.043</v>
      </c>
      <c r="AJ35" s="22">
        <f t="shared" si="9"/>
        <v>1.5812386877828055</v>
      </c>
    </row>
    <row r="36" spans="1:36" s="32" customFormat="1" ht="10.5">
      <c r="A36" s="60" t="s">
        <v>78</v>
      </c>
      <c r="B36" s="60"/>
      <c r="C36" s="60"/>
      <c r="D36" s="60"/>
      <c r="E36" s="60"/>
      <c r="F36" s="60"/>
      <c r="G36" s="60"/>
      <c r="H36" s="60"/>
      <c r="I36" s="29">
        <f>SUM(I12:I35)</f>
        <v>66689.40000000001</v>
      </c>
      <c r="J36" s="29">
        <f aca="true" t="shared" si="14" ref="J36:AI36">SUM(J12:J35)</f>
        <v>60438.700000000004</v>
      </c>
      <c r="K36" s="29">
        <f t="shared" si="14"/>
        <v>57685.640000000014</v>
      </c>
      <c r="L36" s="29">
        <f t="shared" si="14"/>
        <v>6250.7</v>
      </c>
      <c r="M36" s="39">
        <f t="shared" si="14"/>
        <v>2879</v>
      </c>
      <c r="N36" s="29">
        <f t="shared" si="14"/>
        <v>66026.337</v>
      </c>
      <c r="O36" s="29">
        <f t="shared" si="14"/>
        <v>20585.511000000002</v>
      </c>
      <c r="P36" s="29">
        <f t="shared" si="14"/>
        <v>2550.0330000000013</v>
      </c>
      <c r="Q36" s="29">
        <f t="shared" si="14"/>
        <v>0</v>
      </c>
      <c r="R36" s="29">
        <f t="shared" si="14"/>
        <v>12165.007999999996</v>
      </c>
      <c r="S36" s="29">
        <f t="shared" si="14"/>
        <v>0</v>
      </c>
      <c r="T36" s="29">
        <f t="shared" si="14"/>
        <v>3377.17</v>
      </c>
      <c r="U36" s="29">
        <f t="shared" si="14"/>
        <v>2493.3</v>
      </c>
      <c r="V36" s="29">
        <f t="shared" si="14"/>
        <v>17601.620000000006</v>
      </c>
      <c r="W36" s="29">
        <f t="shared" si="14"/>
        <v>15986.825999999997</v>
      </c>
      <c r="X36" s="29">
        <f t="shared" si="14"/>
        <v>0</v>
      </c>
      <c r="Y36" s="29">
        <f t="shared" si="14"/>
        <v>0</v>
      </c>
      <c r="Z36" s="29">
        <f t="shared" si="14"/>
        <v>0</v>
      </c>
      <c r="AA36" s="29">
        <f t="shared" si="14"/>
        <v>0</v>
      </c>
      <c r="AB36" s="29">
        <f t="shared" si="14"/>
        <v>53886.5</v>
      </c>
      <c r="AC36" s="29">
        <f t="shared" si="14"/>
        <v>29454</v>
      </c>
      <c r="AD36" s="29">
        <f t="shared" si="14"/>
        <v>66026.337</v>
      </c>
      <c r="AE36" s="29">
        <f t="shared" si="14"/>
        <v>184</v>
      </c>
      <c r="AF36" s="29">
        <f t="shared" si="14"/>
        <v>56980.731999999996</v>
      </c>
      <c r="AG36" s="29">
        <f t="shared" si="14"/>
        <v>4747.292999999999</v>
      </c>
      <c r="AH36" s="29">
        <f t="shared" si="14"/>
        <v>990.3969999999999</v>
      </c>
      <c r="AI36" s="29">
        <f t="shared" si="14"/>
        <v>3307.9200000000005</v>
      </c>
      <c r="AJ36" s="29"/>
    </row>
  </sheetData>
  <sheetProtection/>
  <mergeCells count="54">
    <mergeCell ref="A6:A10"/>
    <mergeCell ref="B6:E6"/>
    <mergeCell ref="F6:H6"/>
    <mergeCell ref="I6:I9"/>
    <mergeCell ref="J6:K7"/>
    <mergeCell ref="L6:L9"/>
    <mergeCell ref="J8:J9"/>
    <mergeCell ref="K8:K9"/>
    <mergeCell ref="O6:AC6"/>
    <mergeCell ref="AD6:AD9"/>
    <mergeCell ref="AE6:AE9"/>
    <mergeCell ref="AF6:AI7"/>
    <mergeCell ref="V7:W9"/>
    <mergeCell ref="X7:Y9"/>
    <mergeCell ref="Z7:AA9"/>
    <mergeCell ref="AB7:AC9"/>
    <mergeCell ref="AI8:AI9"/>
    <mergeCell ref="O8:O9"/>
    <mergeCell ref="AJ6:AJ9"/>
    <mergeCell ref="C7:C10"/>
    <mergeCell ref="D7:D10"/>
    <mergeCell ref="E7:E10"/>
    <mergeCell ref="F7:F10"/>
    <mergeCell ref="G7:G10"/>
    <mergeCell ref="H7:H10"/>
    <mergeCell ref="O7:U7"/>
    <mergeCell ref="M6:M9"/>
    <mergeCell ref="N6:N9"/>
    <mergeCell ref="P8:U8"/>
    <mergeCell ref="AF8:AF9"/>
    <mergeCell ref="AG8:AG9"/>
    <mergeCell ref="AH8:AH9"/>
    <mergeCell ref="V25:V26"/>
    <mergeCell ref="W25:W26"/>
    <mergeCell ref="AB25:AB26"/>
    <mergeCell ref="AC25:AC26"/>
    <mergeCell ref="U25:U26"/>
    <mergeCell ref="AD25:AD26"/>
    <mergeCell ref="M25:M26"/>
    <mergeCell ref="N25:N26"/>
    <mergeCell ref="O25:O26"/>
    <mergeCell ref="P25:P26"/>
    <mergeCell ref="R25:R26"/>
    <mergeCell ref="T25:T26"/>
    <mergeCell ref="AD2:AJ2"/>
    <mergeCell ref="AJ25:AJ26"/>
    <mergeCell ref="B7:B10"/>
    <mergeCell ref="C3:W3"/>
    <mergeCell ref="A36:H36"/>
    <mergeCell ref="AE25:AE26"/>
    <mergeCell ref="AF25:AF26"/>
    <mergeCell ref="AG25:AG26"/>
    <mergeCell ref="AH25:AH26"/>
    <mergeCell ref="AI25:AI26"/>
  </mergeCells>
  <printOptions/>
  <pageMargins left="0.31496062992125984" right="0.31496062992125984" top="0.35433070866141736" bottom="0.35433070866141736" header="0" footer="0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="60" workbookViewId="0" topLeftCell="A2">
      <selection activeCell="M8" sqref="M8"/>
    </sheetView>
  </sheetViews>
  <sheetFormatPr defaultColWidth="9.140625" defaultRowHeight="15"/>
  <cols>
    <col min="1" max="1" width="4.57421875" style="1" customWidth="1"/>
    <col min="2" max="2" width="28.57421875" style="1" customWidth="1"/>
    <col min="3" max="3" width="23.28125" style="1" customWidth="1"/>
    <col min="4" max="4" width="12.57421875" style="1" customWidth="1"/>
    <col min="5" max="5" width="20.140625" style="1" customWidth="1"/>
    <col min="6" max="16384" width="9.140625" style="1" customWidth="1"/>
  </cols>
  <sheetData>
    <row r="1" ht="15">
      <c r="E1" s="1" t="s">
        <v>109</v>
      </c>
    </row>
    <row r="2" spans="4:5" ht="64.5" customHeight="1">
      <c r="D2" s="87" t="s">
        <v>119</v>
      </c>
      <c r="E2" s="87"/>
    </row>
    <row r="3" spans="1:5" ht="15">
      <c r="A3" s="89" t="s">
        <v>60</v>
      </c>
      <c r="B3" s="89"/>
      <c r="C3" s="89"/>
      <c r="D3" s="89"/>
      <c r="E3" s="89"/>
    </row>
    <row r="4" ht="15">
      <c r="A4" s="3"/>
    </row>
    <row r="5" spans="1:5" ht="15">
      <c r="A5" s="7" t="s">
        <v>61</v>
      </c>
      <c r="B5" s="90" t="s">
        <v>63</v>
      </c>
      <c r="C5" s="82" t="s">
        <v>64</v>
      </c>
      <c r="D5" s="82" t="s">
        <v>77</v>
      </c>
      <c r="E5" s="82" t="s">
        <v>112</v>
      </c>
    </row>
    <row r="6" spans="1:5" ht="62.25" customHeight="1">
      <c r="A6" s="8" t="s">
        <v>62</v>
      </c>
      <c r="B6" s="90"/>
      <c r="C6" s="82"/>
      <c r="D6" s="82"/>
      <c r="E6" s="82"/>
    </row>
    <row r="7" spans="1:5" ht="15" customHeight="1">
      <c r="A7" s="91">
        <v>1</v>
      </c>
      <c r="B7" s="88" t="s">
        <v>65</v>
      </c>
      <c r="C7" s="5" t="s">
        <v>66</v>
      </c>
      <c r="D7" s="4">
        <f>SUM(D8:D11)</f>
        <v>208746.9</v>
      </c>
      <c r="E7" s="84" t="s">
        <v>117</v>
      </c>
    </row>
    <row r="8" spans="1:5" ht="15">
      <c r="A8" s="83"/>
      <c r="B8" s="88"/>
      <c r="C8" s="5" t="s">
        <v>67</v>
      </c>
      <c r="D8" s="4">
        <f>D13+D18+D23+D28</f>
        <v>179934.5</v>
      </c>
      <c r="E8" s="85"/>
    </row>
    <row r="9" spans="1:5" ht="15">
      <c r="A9" s="83"/>
      <c r="B9" s="88"/>
      <c r="C9" s="5" t="s">
        <v>68</v>
      </c>
      <c r="D9" s="4">
        <f>D14+D19+D24+D29</f>
        <v>14991.099999999999</v>
      </c>
      <c r="E9" s="85"/>
    </row>
    <row r="10" spans="1:5" ht="15">
      <c r="A10" s="83"/>
      <c r="B10" s="88"/>
      <c r="C10" s="5" t="s">
        <v>76</v>
      </c>
      <c r="D10" s="4">
        <f>D15+D20+D25+D30</f>
        <v>3375.5000000000005</v>
      </c>
      <c r="E10" s="85"/>
    </row>
    <row r="11" spans="1:5" ht="60" customHeight="1">
      <c r="A11" s="83"/>
      <c r="B11" s="88"/>
      <c r="C11" s="5" t="s">
        <v>73</v>
      </c>
      <c r="D11" s="4">
        <f>D16+D21+D26+D31</f>
        <v>10445.8</v>
      </c>
      <c r="E11" s="86"/>
    </row>
    <row r="12" spans="1:5" ht="15">
      <c r="A12" s="83" t="s">
        <v>113</v>
      </c>
      <c r="B12" s="88" t="s">
        <v>105</v>
      </c>
      <c r="C12" s="5" t="s">
        <v>66</v>
      </c>
      <c r="D12" s="4">
        <f>SUM(D13:D16)</f>
        <v>248</v>
      </c>
      <c r="E12" s="82" t="s">
        <v>118</v>
      </c>
    </row>
    <row r="13" spans="1:5" ht="15">
      <c r="A13" s="83"/>
      <c r="B13" s="88"/>
      <c r="C13" s="5" t="s">
        <v>67</v>
      </c>
      <c r="D13" s="4"/>
      <c r="E13" s="82"/>
    </row>
    <row r="14" spans="1:5" ht="15">
      <c r="A14" s="83"/>
      <c r="B14" s="88"/>
      <c r="C14" s="5" t="s">
        <v>68</v>
      </c>
      <c r="D14" s="4"/>
      <c r="E14" s="82"/>
    </row>
    <row r="15" spans="1:5" ht="15">
      <c r="A15" s="83"/>
      <c r="B15" s="88"/>
      <c r="C15" s="5" t="s">
        <v>76</v>
      </c>
      <c r="D15" s="4">
        <v>248</v>
      </c>
      <c r="E15" s="82"/>
    </row>
    <row r="16" spans="1:5" ht="60">
      <c r="A16" s="83"/>
      <c r="B16" s="88"/>
      <c r="C16" s="5" t="s">
        <v>73</v>
      </c>
      <c r="D16" s="4"/>
      <c r="E16" s="82"/>
    </row>
    <row r="17" spans="1:5" ht="15" customHeight="1">
      <c r="A17" s="83" t="s">
        <v>114</v>
      </c>
      <c r="B17" s="88" t="s">
        <v>106</v>
      </c>
      <c r="C17" s="5" t="s">
        <v>66</v>
      </c>
      <c r="D17" s="4">
        <f>SUM(D18:D21)</f>
        <v>72057.3</v>
      </c>
      <c r="E17" s="84" t="s">
        <v>117</v>
      </c>
    </row>
    <row r="18" spans="1:5" ht="15">
      <c r="A18" s="83"/>
      <c r="B18" s="88"/>
      <c r="C18" s="5" t="s">
        <v>67</v>
      </c>
      <c r="D18" s="4">
        <v>62185.4</v>
      </c>
      <c r="E18" s="85"/>
    </row>
    <row r="19" spans="1:5" ht="15">
      <c r="A19" s="83"/>
      <c r="B19" s="88"/>
      <c r="C19" s="5" t="s">
        <v>68</v>
      </c>
      <c r="D19" s="4">
        <v>5180.9</v>
      </c>
      <c r="E19" s="85"/>
    </row>
    <row r="20" spans="1:5" ht="15">
      <c r="A20" s="83"/>
      <c r="B20" s="88"/>
      <c r="C20" s="5" t="s">
        <v>76</v>
      </c>
      <c r="D20" s="4">
        <v>1080.9</v>
      </c>
      <c r="E20" s="85"/>
    </row>
    <row r="21" spans="1:5" ht="60">
      <c r="A21" s="83"/>
      <c r="B21" s="88"/>
      <c r="C21" s="5" t="s">
        <v>73</v>
      </c>
      <c r="D21" s="4">
        <v>3610.1</v>
      </c>
      <c r="E21" s="86"/>
    </row>
    <row r="22" spans="1:5" ht="15" customHeight="1">
      <c r="A22" s="83" t="s">
        <v>115</v>
      </c>
      <c r="B22" s="88" t="s">
        <v>107</v>
      </c>
      <c r="C22" s="5" t="s">
        <v>66</v>
      </c>
      <c r="D22" s="4">
        <f>SUM(D23:D26)</f>
        <v>70415.3</v>
      </c>
      <c r="E22" s="84" t="s">
        <v>117</v>
      </c>
    </row>
    <row r="23" spans="1:5" ht="15">
      <c r="A23" s="83"/>
      <c r="B23" s="88"/>
      <c r="C23" s="5" t="s">
        <v>67</v>
      </c>
      <c r="D23" s="4">
        <v>60768.4</v>
      </c>
      <c r="E23" s="85"/>
    </row>
    <row r="24" spans="1:5" ht="15">
      <c r="A24" s="83"/>
      <c r="B24" s="88"/>
      <c r="C24" s="5" t="s">
        <v>68</v>
      </c>
      <c r="D24" s="4">
        <v>5062.9</v>
      </c>
      <c r="E24" s="85"/>
    </row>
    <row r="25" spans="1:5" ht="15">
      <c r="A25" s="83"/>
      <c r="B25" s="88"/>
      <c r="C25" s="5" t="s">
        <v>76</v>
      </c>
      <c r="D25" s="4">
        <v>1056.2</v>
      </c>
      <c r="E25" s="85"/>
    </row>
    <row r="26" spans="1:5" ht="60" customHeight="1">
      <c r="A26" s="83"/>
      <c r="B26" s="88"/>
      <c r="C26" s="5" t="s">
        <v>73</v>
      </c>
      <c r="D26" s="4">
        <v>3527.8</v>
      </c>
      <c r="E26" s="86"/>
    </row>
    <row r="27" spans="1:5" ht="15" customHeight="1">
      <c r="A27" s="83" t="s">
        <v>116</v>
      </c>
      <c r="B27" s="88" t="s">
        <v>108</v>
      </c>
      <c r="C27" s="5" t="s">
        <v>66</v>
      </c>
      <c r="D27" s="4">
        <f>SUM(D28:D31)</f>
        <v>66026.3</v>
      </c>
      <c r="E27" s="84" t="s">
        <v>117</v>
      </c>
    </row>
    <row r="28" spans="1:5" ht="15">
      <c r="A28" s="83"/>
      <c r="B28" s="88"/>
      <c r="C28" s="5" t="s">
        <v>67</v>
      </c>
      <c r="D28" s="4">
        <v>56980.7</v>
      </c>
      <c r="E28" s="85"/>
    </row>
    <row r="29" spans="1:5" ht="15">
      <c r="A29" s="83"/>
      <c r="B29" s="88"/>
      <c r="C29" s="5" t="s">
        <v>68</v>
      </c>
      <c r="D29" s="4">
        <v>4747.3</v>
      </c>
      <c r="E29" s="85"/>
    </row>
    <row r="30" spans="1:5" ht="15">
      <c r="A30" s="83"/>
      <c r="B30" s="88"/>
      <c r="C30" s="5" t="s">
        <v>76</v>
      </c>
      <c r="D30" s="4">
        <v>990.4</v>
      </c>
      <c r="E30" s="85"/>
    </row>
    <row r="31" spans="1:5" ht="60">
      <c r="A31" s="83"/>
      <c r="B31" s="88"/>
      <c r="C31" s="5" t="s">
        <v>73</v>
      </c>
      <c r="D31" s="4">
        <v>3307.9</v>
      </c>
      <c r="E31" s="86"/>
    </row>
    <row r="32" spans="1:5" ht="198" customHeight="1">
      <c r="A32" s="6">
        <v>2</v>
      </c>
      <c r="B32" s="5" t="s">
        <v>72</v>
      </c>
      <c r="C32" s="5"/>
      <c r="D32" s="4"/>
      <c r="E32" s="2" t="s">
        <v>75</v>
      </c>
    </row>
    <row r="33" spans="1:5" ht="141" customHeight="1">
      <c r="A33" s="5">
        <v>3</v>
      </c>
      <c r="B33" s="5" t="s">
        <v>69</v>
      </c>
      <c r="C33" s="5"/>
      <c r="D33" s="4"/>
      <c r="E33" s="5" t="s">
        <v>74</v>
      </c>
    </row>
    <row r="34" spans="1:5" ht="58.5" customHeight="1">
      <c r="A34" s="5">
        <v>4</v>
      </c>
      <c r="B34" s="5" t="s">
        <v>70</v>
      </c>
      <c r="C34" s="4"/>
      <c r="D34" s="4"/>
      <c r="E34" s="5" t="s">
        <v>71</v>
      </c>
    </row>
  </sheetData>
  <sheetProtection/>
  <mergeCells count="21">
    <mergeCell ref="B17:B21"/>
    <mergeCell ref="B5:B6"/>
    <mergeCell ref="D5:D6"/>
    <mergeCell ref="E5:E6"/>
    <mergeCell ref="A7:A11"/>
    <mergeCell ref="B7:B11"/>
    <mergeCell ref="A27:A31"/>
    <mergeCell ref="B27:B31"/>
    <mergeCell ref="A12:A16"/>
    <mergeCell ref="B12:B16"/>
    <mergeCell ref="A17:A21"/>
    <mergeCell ref="C5:C6"/>
    <mergeCell ref="A22:A26"/>
    <mergeCell ref="E27:E31"/>
    <mergeCell ref="D2:E2"/>
    <mergeCell ref="B22:B26"/>
    <mergeCell ref="E7:E11"/>
    <mergeCell ref="E17:E21"/>
    <mergeCell ref="E22:E26"/>
    <mergeCell ref="E12:E16"/>
    <mergeCell ref="A3:E3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portrait" paperSize="9" scale="97" r:id="rId1"/>
  <rowBreaks count="1" manualBreakCount="1">
    <brk id="2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zoomScalePageLayoutView="0" workbookViewId="0" topLeftCell="D4">
      <selection activeCell="L7" sqref="L7"/>
    </sheetView>
  </sheetViews>
  <sheetFormatPr defaultColWidth="9.140625" defaultRowHeight="15"/>
  <cols>
    <col min="1" max="1" width="9.140625" style="1" customWidth="1"/>
    <col min="2" max="2" width="14.00390625" style="1" customWidth="1"/>
    <col min="3" max="3" width="13.421875" style="1" customWidth="1"/>
    <col min="4" max="6" width="9.421875" style="1" bestFit="1" customWidth="1"/>
    <col min="7" max="7" width="8.7109375" style="1" customWidth="1"/>
    <col min="8" max="8" width="14.140625" style="1" customWidth="1"/>
    <col min="9" max="10" width="11.7109375" style="1" bestFit="1" customWidth="1"/>
    <col min="11" max="11" width="11.28125" style="1" customWidth="1"/>
    <col min="12" max="12" width="12.7109375" style="1" bestFit="1" customWidth="1"/>
    <col min="13" max="14" width="12.00390625" style="1" bestFit="1" customWidth="1"/>
    <col min="15" max="16384" width="9.140625" style="1" customWidth="1"/>
  </cols>
  <sheetData>
    <row r="1" spans="2:14" s="53" customFormat="1" ht="15" customHeight="1">
      <c r="B1" s="54"/>
      <c r="C1" s="54"/>
      <c r="D1" s="54"/>
      <c r="E1" s="54"/>
      <c r="F1" s="54"/>
      <c r="G1" s="54"/>
      <c r="H1" s="54"/>
      <c r="I1" s="95" t="s">
        <v>101</v>
      </c>
      <c r="J1" s="95"/>
      <c r="K1" s="95"/>
      <c r="L1" s="95"/>
      <c r="M1" s="55"/>
      <c r="N1" s="55"/>
    </row>
    <row r="2" spans="2:14" s="53" customFormat="1" ht="63" customHeight="1">
      <c r="B2" s="54"/>
      <c r="C2" s="54"/>
      <c r="D2" s="54"/>
      <c r="E2" s="54"/>
      <c r="F2" s="54"/>
      <c r="G2" s="54"/>
      <c r="H2" s="54"/>
      <c r="I2" s="45"/>
      <c r="J2" s="87" t="s">
        <v>120</v>
      </c>
      <c r="K2" s="87"/>
      <c r="L2" s="87"/>
      <c r="M2" s="55"/>
      <c r="N2" s="55"/>
    </row>
    <row r="3" spans="1:14" s="53" customFormat="1" ht="39" customHeight="1">
      <c r="A3" s="96" t="s">
        <v>90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46"/>
      <c r="M3" s="55"/>
      <c r="N3" s="55"/>
    </row>
    <row r="4" spans="1:14" s="53" customFormat="1" ht="15.75" customHeight="1">
      <c r="A4" s="97" t="s">
        <v>36</v>
      </c>
      <c r="B4" s="100" t="s">
        <v>91</v>
      </c>
      <c r="C4" s="100" t="s">
        <v>92</v>
      </c>
      <c r="D4" s="100" t="s">
        <v>93</v>
      </c>
      <c r="E4" s="100"/>
      <c r="F4" s="100"/>
      <c r="G4" s="100"/>
      <c r="H4" s="92" t="s">
        <v>94</v>
      </c>
      <c r="I4" s="93"/>
      <c r="J4" s="93"/>
      <c r="K4" s="93"/>
      <c r="L4" s="94"/>
      <c r="M4" s="55"/>
      <c r="N4" s="55"/>
    </row>
    <row r="5" spans="1:14" s="53" customFormat="1" ht="223.5" customHeight="1">
      <c r="A5" s="98"/>
      <c r="B5" s="100"/>
      <c r="C5" s="100"/>
      <c r="D5" s="47" t="s">
        <v>102</v>
      </c>
      <c r="E5" s="47" t="s">
        <v>103</v>
      </c>
      <c r="F5" s="47" t="s">
        <v>104</v>
      </c>
      <c r="G5" s="47" t="s">
        <v>95</v>
      </c>
      <c r="H5" s="58" t="s">
        <v>111</v>
      </c>
      <c r="I5" s="47" t="s">
        <v>102</v>
      </c>
      <c r="J5" s="47" t="s">
        <v>103</v>
      </c>
      <c r="K5" s="47" t="s">
        <v>104</v>
      </c>
      <c r="L5" s="47" t="s">
        <v>95</v>
      </c>
      <c r="M5" s="55"/>
      <c r="N5" s="55"/>
    </row>
    <row r="6" spans="1:14" s="53" customFormat="1" ht="18" customHeight="1">
      <c r="A6" s="99"/>
      <c r="B6" s="47" t="s">
        <v>96</v>
      </c>
      <c r="C6" s="47" t="s">
        <v>97</v>
      </c>
      <c r="D6" s="47" t="s">
        <v>98</v>
      </c>
      <c r="E6" s="47" t="s">
        <v>98</v>
      </c>
      <c r="F6" s="47" t="s">
        <v>98</v>
      </c>
      <c r="G6" s="47" t="s">
        <v>98</v>
      </c>
      <c r="H6" s="47" t="s">
        <v>99</v>
      </c>
      <c r="I6" s="47" t="s">
        <v>99</v>
      </c>
      <c r="J6" s="47" t="s">
        <v>99</v>
      </c>
      <c r="K6" s="47" t="s">
        <v>99</v>
      </c>
      <c r="L6" s="47" t="s">
        <v>99</v>
      </c>
      <c r="M6" s="55"/>
      <c r="N6" s="55"/>
    </row>
    <row r="7" spans="1:14" s="53" customFormat="1" ht="30.75" customHeight="1">
      <c r="A7" s="48" t="s">
        <v>100</v>
      </c>
      <c r="B7" s="49">
        <f>'2012'!I32+'2013'!I34+'2014'!I36</f>
        <v>216689.44</v>
      </c>
      <c r="C7" s="50">
        <f>'2012'!M32+'2013'!M34+'2014'!M36</f>
        <v>8640</v>
      </c>
      <c r="D7" s="50">
        <v>20</v>
      </c>
      <c r="E7" s="50">
        <v>22</v>
      </c>
      <c r="F7" s="51">
        <v>24</v>
      </c>
      <c r="G7" s="51">
        <v>66</v>
      </c>
      <c r="H7" s="51">
        <v>248</v>
      </c>
      <c r="I7" s="52">
        <v>72057.3</v>
      </c>
      <c r="J7" s="52">
        <v>70415.3</v>
      </c>
      <c r="K7" s="52">
        <v>66026.3</v>
      </c>
      <c r="L7" s="52">
        <f>SUM(H7:K7)</f>
        <v>208746.90000000002</v>
      </c>
      <c r="M7" s="56" t="e">
        <f>L7-#REF!-K7</f>
        <v>#REF!</v>
      </c>
      <c r="N7" s="57" t="e">
        <f>G7-#REF!-F7</f>
        <v>#REF!</v>
      </c>
    </row>
  </sheetData>
  <sheetProtection/>
  <mergeCells count="8">
    <mergeCell ref="H4:L4"/>
    <mergeCell ref="I1:L1"/>
    <mergeCell ref="A3:K3"/>
    <mergeCell ref="A4:A6"/>
    <mergeCell ref="B4:B5"/>
    <mergeCell ref="C4:C5"/>
    <mergeCell ref="D4:G4"/>
    <mergeCell ref="J2:L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Надежда Малаева</cp:lastModifiedBy>
  <cp:lastPrinted>2011-10-04T04:37:46Z</cp:lastPrinted>
  <dcterms:created xsi:type="dcterms:W3CDTF">2008-03-06T07:48:51Z</dcterms:created>
  <dcterms:modified xsi:type="dcterms:W3CDTF">2011-10-04T04:45:26Z</dcterms:modified>
  <cp:category/>
  <cp:version/>
  <cp:contentType/>
  <cp:contentStatus/>
</cp:coreProperties>
</file>